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\eproses\public\indir\"/>
    </mc:Choice>
  </mc:AlternateContent>
  <xr:revisionPtr revIDLastSave="0" documentId="8_{2B1E1B46-F246-47F1-AA00-16023AED9D44}" xr6:coauthVersionLast="47" xr6:coauthVersionMax="47" xr10:uidLastSave="{00000000-0000-0000-0000-000000000000}"/>
  <bookViews>
    <workbookView xWindow="-120" yWindow="-120" windowWidth="29040" windowHeight="15090" xr2:uid="{35438394-9EB5-4917-88EA-E6992A78B704}"/>
  </bookViews>
  <sheets>
    <sheet name="Veri girişi" sheetId="1" r:id="rId1"/>
    <sheet name="Pareto tablosu" sheetId="2" r:id="rId2"/>
    <sheet name="Pareto grafiği" sheetId="3" r:id="rId3"/>
    <sheet name="Örnek" sheetId="4" r:id="rId4"/>
    <sheet name="Açıklama" sheetId="5" r:id="rId5"/>
  </sheets>
  <definedNames>
    <definedName name="PA_Diger" localSheetId="3">OFFSET(Örnek!$U$30,0,0,MAX(1,COUNT(Örnek!$D$30:$D$44)),1)</definedName>
    <definedName name="PA_Diger" localSheetId="1">OFFSET('Pareto tablosu'!$U$8,0,0,MAX(1,COUNT('Pareto tablosu'!$D$8:$D$22)),1)</definedName>
    <definedName name="PA_Esik" localSheetId="3">OFFSET(Örnek!$V$30,0,0,MAX(1,COUNT(Örnek!$D$30:$D$44)),1)</definedName>
    <definedName name="PA_Esik" localSheetId="1">OFFSET('Pareto tablosu'!$V$8,0,0,MAX(1,COUNT('Pareto tablosu'!$D$8:$D$22)),1)</definedName>
    <definedName name="PA_Hayati" localSheetId="3">OFFSET(Örnek!$T$30,0,0,MAX(1,COUNT(Örnek!$D$30:$D$44)),1)</definedName>
    <definedName name="PA_Hayati" localSheetId="1">OFFSET('Pareto tablosu'!$T$8,0,0,MAX(1,COUNT('Pareto tablosu'!$D$8:$D$22)),1)</definedName>
    <definedName name="PA_Kat" localSheetId="3">OFFSET(Örnek!$B$30,0,0,MAX(1,COUNT(Örnek!$D$30:$D$44)),1)</definedName>
    <definedName name="PA_Kat" localSheetId="1">OFFSET('Pareto tablosu'!$B$8,0,0,MAX(1,COUNT('Pareto tablosu'!$D$8:$D$22)),1)</definedName>
    <definedName name="PA_Kum" localSheetId="3">OFFSET(Örnek!$F$30,0,0,MAX(1,COUNT(Örnek!$D$30:$D$44)),1)</definedName>
    <definedName name="PA_Kum" localSheetId="1">OFFSET('Pareto tablosu'!$F$8,0,0,MAX(1,COUNT('Pareto tablosu'!$D$8:$D$22)),1)</definedName>
    <definedName name="_xlnm.Print_Area" localSheetId="4">Açıklama!$A$1:$C$31</definedName>
    <definedName name="_xlnm.Print_Area" localSheetId="3">Örnek!$A$1:$L$74</definedName>
    <definedName name="_xlnm.Print_Area" localSheetId="2">'Pareto grafiği'!$A$1:$G$35</definedName>
    <definedName name="_xlnm.Print_Area" localSheetId="1">'Pareto tablosu'!$A$1:$G$28</definedName>
    <definedName name="_xlnm.Print_Area" localSheetId="0">'Veri girişi'!$A$1:$L$160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8" i="4" l="1"/>
  <c r="D47" i="4"/>
  <c r="T45" i="4"/>
  <c r="S45" i="4"/>
  <c r="E45" i="4"/>
  <c r="D45" i="4"/>
  <c r="V44" i="4"/>
  <c r="U44" i="4"/>
  <c r="T44" i="4"/>
  <c r="G44" i="4"/>
  <c r="F44" i="4"/>
  <c r="E44" i="4"/>
  <c r="D44" i="4"/>
  <c r="B44" i="4"/>
  <c r="A44" i="4"/>
  <c r="S44" i="4"/>
  <c r="R44" i="4"/>
  <c r="Q44" i="4"/>
  <c r="P44" i="4"/>
  <c r="O44" i="4"/>
  <c r="N44" i="4"/>
  <c r="V43" i="4"/>
  <c r="U43" i="4"/>
  <c r="T43" i="4"/>
  <c r="G43" i="4"/>
  <c r="F43" i="4"/>
  <c r="E43" i="4"/>
  <c r="D43" i="4"/>
  <c r="B43" i="4"/>
  <c r="A43" i="4"/>
  <c r="S43" i="4"/>
  <c r="R43" i="4"/>
  <c r="Q43" i="4"/>
  <c r="P43" i="4"/>
  <c r="O43" i="4"/>
  <c r="N43" i="4"/>
  <c r="V42" i="4"/>
  <c r="U42" i="4"/>
  <c r="T42" i="4"/>
  <c r="G42" i="4"/>
  <c r="F42" i="4"/>
  <c r="E42" i="4"/>
  <c r="D42" i="4"/>
  <c r="B42" i="4"/>
  <c r="S42" i="4"/>
  <c r="A42" i="4" s="1"/>
  <c r="R42" i="4"/>
  <c r="Q42" i="4"/>
  <c r="P42" i="4"/>
  <c r="O42" i="4"/>
  <c r="N42" i="4"/>
  <c r="V41" i="4"/>
  <c r="U41" i="4"/>
  <c r="T41" i="4"/>
  <c r="G41" i="4"/>
  <c r="F41" i="4"/>
  <c r="E41" i="4"/>
  <c r="D41" i="4"/>
  <c r="S41" i="4"/>
  <c r="A41" i="4" s="1"/>
  <c r="R41" i="4"/>
  <c r="Q41" i="4"/>
  <c r="P41" i="4"/>
  <c r="O41" i="4"/>
  <c r="N41" i="4"/>
  <c r="S40" i="4"/>
  <c r="V40" i="4" s="1"/>
  <c r="R40" i="4"/>
  <c r="Q40" i="4"/>
  <c r="P40" i="4"/>
  <c r="O40" i="4"/>
  <c r="N40" i="4"/>
  <c r="S39" i="4"/>
  <c r="V39" i="4" s="1"/>
  <c r="R39" i="4"/>
  <c r="Q39" i="4"/>
  <c r="P39" i="4"/>
  <c r="O39" i="4"/>
  <c r="N39" i="4"/>
  <c r="S38" i="4"/>
  <c r="V38" i="4" s="1"/>
  <c r="R38" i="4"/>
  <c r="Q38" i="4"/>
  <c r="P38" i="4"/>
  <c r="O38" i="4"/>
  <c r="N38" i="4"/>
  <c r="S37" i="4"/>
  <c r="V37" i="4" s="1"/>
  <c r="R37" i="4"/>
  <c r="Q37" i="4"/>
  <c r="P37" i="4"/>
  <c r="O37" i="4"/>
  <c r="N37" i="4"/>
  <c r="S36" i="4"/>
  <c r="A36" i="4" s="1"/>
  <c r="R36" i="4"/>
  <c r="Q36" i="4"/>
  <c r="P36" i="4"/>
  <c r="O36" i="4"/>
  <c r="N36" i="4"/>
  <c r="S35" i="4"/>
  <c r="D35" i="4" s="1"/>
  <c r="E35" i="4" s="1"/>
  <c r="R35" i="4"/>
  <c r="Q35" i="4"/>
  <c r="P35" i="4"/>
  <c r="O35" i="4"/>
  <c r="N35" i="4"/>
  <c r="S34" i="4"/>
  <c r="D34" i="4" s="1"/>
  <c r="E34" i="4" s="1"/>
  <c r="R34" i="4"/>
  <c r="Q34" i="4"/>
  <c r="P34" i="4"/>
  <c r="O34" i="4"/>
  <c r="N34" i="4"/>
  <c r="S33" i="4"/>
  <c r="V33" i="4" s="1"/>
  <c r="R33" i="4"/>
  <c r="S31" i="4" s="1"/>
  <c r="D31" i="4" s="1"/>
  <c r="E31" i="4" s="1"/>
  <c r="Q33" i="4"/>
  <c r="P33" i="4"/>
  <c r="O33" i="4"/>
  <c r="N33" i="4"/>
  <c r="R32" i="4"/>
  <c r="Q32" i="4"/>
  <c r="P32" i="4"/>
  <c r="O32" i="4"/>
  <c r="N32" i="4"/>
  <c r="R31" i="4"/>
  <c r="Q31" i="4"/>
  <c r="P31" i="4"/>
  <c r="O31" i="4"/>
  <c r="N31" i="4"/>
  <c r="R30" i="4"/>
  <c r="Q30" i="4"/>
  <c r="P30" i="4"/>
  <c r="O30" i="4"/>
  <c r="N30" i="4"/>
  <c r="D29" i="4"/>
  <c r="L25" i="4"/>
  <c r="K25" i="4"/>
  <c r="L24" i="4"/>
  <c r="K24" i="4"/>
  <c r="L23" i="4"/>
  <c r="K23" i="4"/>
  <c r="L22" i="4"/>
  <c r="K22" i="4"/>
  <c r="L21" i="4"/>
  <c r="K21" i="4"/>
  <c r="L20" i="4"/>
  <c r="K20" i="4"/>
  <c r="L19" i="4"/>
  <c r="K19" i="4"/>
  <c r="L18" i="4"/>
  <c r="K18" i="4"/>
  <c r="L17" i="4"/>
  <c r="K17" i="4"/>
  <c r="L16" i="4"/>
  <c r="K16" i="4"/>
  <c r="L15" i="4"/>
  <c r="K15" i="4"/>
  <c r="L14" i="4"/>
  <c r="K14" i="4"/>
  <c r="L13" i="4"/>
  <c r="K13" i="4"/>
  <c r="L12" i="4"/>
  <c r="K12" i="4"/>
  <c r="L11" i="4"/>
  <c r="K11" i="4"/>
  <c r="F10" i="4"/>
  <c r="A6" i="3"/>
  <c r="D26" i="2"/>
  <c r="D25" i="2"/>
  <c r="T23" i="2"/>
  <c r="S23" i="2"/>
  <c r="E23" i="2"/>
  <c r="D23" i="2"/>
  <c r="V22" i="2"/>
  <c r="U22" i="2"/>
  <c r="T22" i="2"/>
  <c r="G22" i="2"/>
  <c r="F22" i="2"/>
  <c r="E22" i="2"/>
  <c r="D22" i="2"/>
  <c r="B22" i="2"/>
  <c r="A22" i="2"/>
  <c r="S22" i="2"/>
  <c r="R22" i="2"/>
  <c r="Q22" i="2"/>
  <c r="P22" i="2"/>
  <c r="O22" i="2"/>
  <c r="N22" i="2"/>
  <c r="S21" i="2"/>
  <c r="V21" i="2" s="1"/>
  <c r="R21" i="2"/>
  <c r="Q21" i="2"/>
  <c r="P21" i="2"/>
  <c r="O21" i="2"/>
  <c r="N21" i="2"/>
  <c r="S20" i="2"/>
  <c r="V20" i="2" s="1"/>
  <c r="R20" i="2"/>
  <c r="Q20" i="2"/>
  <c r="P20" i="2"/>
  <c r="O20" i="2"/>
  <c r="N20" i="2"/>
  <c r="S19" i="2"/>
  <c r="V19" i="2" s="1"/>
  <c r="R19" i="2"/>
  <c r="S12" i="2" s="1"/>
  <c r="A12" i="2" s="1"/>
  <c r="Q19" i="2"/>
  <c r="P19" i="2"/>
  <c r="O19" i="2"/>
  <c r="N19" i="2"/>
  <c r="R18" i="2"/>
  <c r="Q18" i="2"/>
  <c r="P18" i="2"/>
  <c r="O18" i="2"/>
  <c r="N18" i="2"/>
  <c r="R17" i="2"/>
  <c r="Q17" i="2"/>
  <c r="P17" i="2"/>
  <c r="O17" i="2"/>
  <c r="N17" i="2"/>
  <c r="R16" i="2"/>
  <c r="Q16" i="2"/>
  <c r="P16" i="2"/>
  <c r="O16" i="2"/>
  <c r="N16" i="2"/>
  <c r="R15" i="2"/>
  <c r="Q15" i="2"/>
  <c r="P15" i="2"/>
  <c r="O15" i="2"/>
  <c r="N15" i="2"/>
  <c r="R14" i="2"/>
  <c r="Q14" i="2"/>
  <c r="P14" i="2"/>
  <c r="O14" i="2"/>
  <c r="N14" i="2"/>
  <c r="R13" i="2"/>
  <c r="Q13" i="2"/>
  <c r="P13" i="2"/>
  <c r="O13" i="2"/>
  <c r="N13" i="2"/>
  <c r="R12" i="2"/>
  <c r="Q12" i="2"/>
  <c r="P12" i="2"/>
  <c r="O12" i="2"/>
  <c r="N12" i="2"/>
  <c r="R11" i="2"/>
  <c r="Q11" i="2"/>
  <c r="P11" i="2"/>
  <c r="O11" i="2"/>
  <c r="N11" i="2"/>
  <c r="R10" i="2"/>
  <c r="Q10" i="2"/>
  <c r="P10" i="2"/>
  <c r="O10" i="2"/>
  <c r="N10" i="2"/>
  <c r="R9" i="2"/>
  <c r="Q9" i="2"/>
  <c r="P9" i="2"/>
  <c r="O9" i="2"/>
  <c r="N9" i="2"/>
  <c r="R8" i="2"/>
  <c r="Q8" i="2"/>
  <c r="P8" i="2"/>
  <c r="O8" i="2"/>
  <c r="N8" i="2"/>
  <c r="D7" i="2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F10" i="1"/>
  <c r="B41" i="4" l="1"/>
  <c r="A40" i="4"/>
  <c r="T36" i="4"/>
  <c r="E39" i="4"/>
  <c r="F40" i="4"/>
  <c r="G40" i="4"/>
  <c r="T40" i="4"/>
  <c r="V36" i="4"/>
  <c r="A39" i="4"/>
  <c r="U37" i="4"/>
  <c r="E40" i="4"/>
  <c r="T37" i="4"/>
  <c r="B40" i="4"/>
  <c r="D40" i="4"/>
  <c r="U36" i="4"/>
  <c r="T39" i="4"/>
  <c r="G37" i="4"/>
  <c r="B39" i="4"/>
  <c r="D39" i="4"/>
  <c r="F39" i="4"/>
  <c r="G39" i="4"/>
  <c r="E36" i="4"/>
  <c r="D37" i="4"/>
  <c r="U39" i="4"/>
  <c r="A37" i="4"/>
  <c r="D36" i="4"/>
  <c r="F36" i="4"/>
  <c r="E37" i="4"/>
  <c r="U40" i="4"/>
  <c r="B36" i="4"/>
  <c r="B37" i="4"/>
  <c r="G36" i="4"/>
  <c r="F37" i="4"/>
  <c r="B38" i="4"/>
  <c r="G38" i="4"/>
  <c r="D38" i="4"/>
  <c r="A38" i="4"/>
  <c r="E38" i="4"/>
  <c r="F38" i="4"/>
  <c r="T38" i="4"/>
  <c r="U38" i="4"/>
  <c r="A35" i="4"/>
  <c r="V35" i="4"/>
  <c r="B35" i="4"/>
  <c r="B34" i="4"/>
  <c r="V34" i="4"/>
  <c r="A34" i="4"/>
  <c r="A33" i="4"/>
  <c r="D33" i="4"/>
  <c r="E33" i="4" s="1"/>
  <c r="B33" i="4"/>
  <c r="S30" i="4"/>
  <c r="V30" i="4" s="1"/>
  <c r="S32" i="4"/>
  <c r="B31" i="4"/>
  <c r="A31" i="4"/>
  <c r="V31" i="4"/>
  <c r="F20" i="2"/>
  <c r="A21" i="2"/>
  <c r="B20" i="2"/>
  <c r="E21" i="2"/>
  <c r="F19" i="2"/>
  <c r="G19" i="2"/>
  <c r="T20" i="2"/>
  <c r="B21" i="2"/>
  <c r="D20" i="2"/>
  <c r="E20" i="2"/>
  <c r="T21" i="2"/>
  <c r="U21" i="2"/>
  <c r="A20" i="2"/>
  <c r="B19" i="2"/>
  <c r="D19" i="2"/>
  <c r="E19" i="2"/>
  <c r="G21" i="2"/>
  <c r="T19" i="2"/>
  <c r="U19" i="2"/>
  <c r="A19" i="2"/>
  <c r="D21" i="2"/>
  <c r="F21" i="2"/>
  <c r="G20" i="2"/>
  <c r="U20" i="2"/>
  <c r="S18" i="2"/>
  <c r="S11" i="2"/>
  <c r="V11" i="2" s="1"/>
  <c r="S17" i="2"/>
  <c r="S15" i="2"/>
  <c r="A15" i="2" s="1"/>
  <c r="S13" i="2"/>
  <c r="U13" i="2" s="1"/>
  <c r="S8" i="2"/>
  <c r="V8" i="2" s="1"/>
  <c r="S16" i="2"/>
  <c r="U16" i="2" s="1"/>
  <c r="S14" i="2"/>
  <c r="V14" i="2" s="1"/>
  <c r="D13" i="2"/>
  <c r="E13" i="2"/>
  <c r="F13" i="2"/>
  <c r="T12" i="2"/>
  <c r="D12" i="2"/>
  <c r="E12" i="2"/>
  <c r="F12" i="2"/>
  <c r="G12" i="2"/>
  <c r="B12" i="2"/>
  <c r="V12" i="2"/>
  <c r="U12" i="2"/>
  <c r="S10" i="2"/>
  <c r="S9" i="2"/>
  <c r="A30" i="4" l="1"/>
  <c r="B30" i="4"/>
  <c r="D30" i="4"/>
  <c r="V32" i="4"/>
  <c r="A32" i="4"/>
  <c r="D32" i="4"/>
  <c r="E32" i="4" s="1"/>
  <c r="B32" i="4"/>
  <c r="E30" i="4"/>
  <c r="F31" i="4"/>
  <c r="G31" i="4" s="1"/>
  <c r="F30" i="4"/>
  <c r="G30" i="4" s="1"/>
  <c r="U30" i="4" s="1"/>
  <c r="E16" i="2"/>
  <c r="F16" i="2"/>
  <c r="E15" i="2"/>
  <c r="G15" i="2"/>
  <c r="B15" i="2"/>
  <c r="D11" i="2"/>
  <c r="B11" i="2"/>
  <c r="G11" i="2"/>
  <c r="A11" i="2"/>
  <c r="U11" i="2"/>
  <c r="T11" i="2"/>
  <c r="F11" i="2"/>
  <c r="T13" i="2"/>
  <c r="E11" i="2"/>
  <c r="G13" i="2"/>
  <c r="B14" i="2"/>
  <c r="T14" i="2"/>
  <c r="G8" i="2"/>
  <c r="W8" i="2" s="1"/>
  <c r="T16" i="2"/>
  <c r="B8" i="2"/>
  <c r="E8" i="2"/>
  <c r="G14" i="2"/>
  <c r="G16" i="2"/>
  <c r="F14" i="2"/>
  <c r="V13" i="2"/>
  <c r="F15" i="2"/>
  <c r="E14" i="2"/>
  <c r="A8" i="2"/>
  <c r="V17" i="2"/>
  <c r="U17" i="2"/>
  <c r="T17" i="2"/>
  <c r="F17" i="2"/>
  <c r="E17" i="2"/>
  <c r="A17" i="2"/>
  <c r="G17" i="2"/>
  <c r="D17" i="2"/>
  <c r="B17" i="2"/>
  <c r="B16" i="2"/>
  <c r="U8" i="2"/>
  <c r="D14" i="2"/>
  <c r="F8" i="2"/>
  <c r="D16" i="2"/>
  <c r="A16" i="2"/>
  <c r="T8" i="2"/>
  <c r="A14" i="2"/>
  <c r="D8" i="2"/>
  <c r="V16" i="2"/>
  <c r="D15" i="2"/>
  <c r="B13" i="2"/>
  <c r="V15" i="2"/>
  <c r="U14" i="2"/>
  <c r="A13" i="2"/>
  <c r="U15" i="2"/>
  <c r="T15" i="2"/>
  <c r="V18" i="2"/>
  <c r="U18" i="2"/>
  <c r="T18" i="2"/>
  <c r="G18" i="2"/>
  <c r="F18" i="2"/>
  <c r="E18" i="2"/>
  <c r="D18" i="2"/>
  <c r="B18" i="2"/>
  <c r="A18" i="2"/>
  <c r="V9" i="2"/>
  <c r="T9" i="2"/>
  <c r="G9" i="2"/>
  <c r="F9" i="2"/>
  <c r="E9" i="2"/>
  <c r="D9" i="2"/>
  <c r="B9" i="2"/>
  <c r="A9" i="2"/>
  <c r="U9" i="2"/>
  <c r="V10" i="2"/>
  <c r="T10" i="2"/>
  <c r="G10" i="2"/>
  <c r="F10" i="2"/>
  <c r="E10" i="2"/>
  <c r="D10" i="2"/>
  <c r="B10" i="2"/>
  <c r="A10" i="2"/>
  <c r="U10" i="2"/>
  <c r="F35" i="4" l="1"/>
  <c r="G35" i="4" s="1"/>
  <c r="F34" i="4"/>
  <c r="G34" i="4" s="1"/>
  <c r="F33" i="4"/>
  <c r="G33" i="4" s="1"/>
  <c r="F32" i="4"/>
  <c r="G32" i="4" s="1"/>
  <c r="T30" i="4"/>
  <c r="U31" i="4"/>
  <c r="W31" i="4"/>
  <c r="T31" i="4"/>
  <c r="W30" i="4"/>
  <c r="W9" i="2"/>
  <c r="W10" i="2" s="1"/>
  <c r="W11" i="2" s="1"/>
  <c r="W12" i="2" s="1"/>
  <c r="W13" i="2" s="1"/>
  <c r="W14" i="2" s="1"/>
  <c r="W15" i="2" s="1"/>
  <c r="W16" i="2" s="1"/>
  <c r="W17" i="2" s="1"/>
  <c r="W18" i="2" s="1"/>
  <c r="W19" i="2" s="1"/>
  <c r="W20" i="2" s="1"/>
  <c r="W21" i="2" s="1"/>
  <c r="W22" i="2" s="1"/>
  <c r="T35" i="4" l="1"/>
  <c r="U35" i="4"/>
  <c r="T34" i="4"/>
  <c r="U34" i="4"/>
  <c r="U33" i="4"/>
  <c r="T33" i="4"/>
  <c r="U32" i="4"/>
  <c r="W32" i="4"/>
  <c r="W33" i="4" s="1"/>
  <c r="W34" i="4" s="1"/>
  <c r="W35" i="4" s="1"/>
  <c r="W36" i="4" s="1"/>
  <c r="W37" i="4" s="1"/>
  <c r="W38" i="4" s="1"/>
  <c r="W39" i="4" s="1"/>
  <c r="W40" i="4" s="1"/>
  <c r="W41" i="4" s="1"/>
  <c r="W42" i="4" s="1"/>
  <c r="W43" i="4" s="1"/>
  <c r="W44" i="4" s="1"/>
  <c r="T32" i="4"/>
</calcChain>
</file>

<file path=xl/sharedStrings.xml><?xml version="1.0" encoding="utf-8"?>
<sst xmlns="http://schemas.openxmlformats.org/spreadsheetml/2006/main" count="176" uniqueCount="98">
  <si>
    <t>Pareto Analizi Formu (80/20)</t>
  </si>
  <si>
    <t>1. Kategorileri ve problem kayıtlarını girin  ·  2. Pareto tablosu ve grafiği kendiliğinden oluşur  ·  Sarı hücreleri doldurun</t>
  </si>
  <si>
    <t>Online araç: eproses.com/araclar/pareto-analizi-excel  ·  Kök neden için: eproses.com/araclar/5-neden-analizi-formu</t>
  </si>
  <si>
    <t>Çalışma bilgileri</t>
  </si>
  <si>
    <t>Süreç / hat</t>
  </si>
  <si>
    <t>Dönem</t>
  </si>
  <si>
    <t>Hazırlayan</t>
  </si>
  <si>
    <t>Etki birimi</t>
  </si>
  <si>
    <t>TL</t>
  </si>
  <si>
    <t>Etki: maliyet (TL), süre (dk), adet hurda…</t>
  </si>
  <si>
    <t>Problem kayıtları  ·  her satıra bir problem; adet = dönem içinde kaç kez yaşandığı</t>
  </si>
  <si>
    <t>No</t>
  </si>
  <si>
    <t>Tarih</t>
  </si>
  <si>
    <t>Problem</t>
  </si>
  <si>
    <t>Kategori</t>
  </si>
  <si>
    <t>Adet</t>
  </si>
  <si>
    <t>Kategoriler</t>
  </si>
  <si>
    <t>Kategori adı</t>
  </si>
  <si>
    <t>Toplam adet</t>
  </si>
  <si>
    <t>Toplam etki</t>
  </si>
  <si>
    <t>Arıza</t>
  </si>
  <si>
    <t>Malzeme bekleme</t>
  </si>
  <si>
    <t>Ayar / tip değişimi</t>
  </si>
  <si>
    <t>Kalite / fire</t>
  </si>
  <si>
    <t>Personel</t>
  </si>
  <si>
    <t>Planlama</t>
  </si>
  <si>
    <t>Aynı kategoriyi iki kez yazmayın; kayıtlarda</t>
  </si>
  <si>
    <t>kategori açılır listeden seçilir.</t>
  </si>
  <si>
    <t>Önerilen kategorileri değiştirebilir, boş satırlara yenilerini ekleyebilirsiniz.</t>
  </si>
  <si>
    <t>Pareto Tablosu</t>
  </si>
  <si>
    <t>Kategori toplamları büyükten küçüğe; yüzde, kümülatif yüzde ve hayati azınlık formülle hesaplanır</t>
  </si>
  <si>
    <t>Pareto tablosu  ·  kategori toplamları büyükten küçüğe (formülle sıralanır)</t>
  </si>
  <si>
    <t>Baz: Adet (sıklık) ya da Etki (maliyet / süre)</t>
  </si>
  <si>
    <t>← açılır listeden seçin</t>
  </si>
  <si>
    <t>Sıra</t>
  </si>
  <si>
    <t>Yüzde</t>
  </si>
  <si>
    <t>Kümülatif</t>
  </si>
  <si>
    <t>Hayati azınlık</t>
  </si>
  <si>
    <t>Etki</t>
  </si>
  <si>
    <t>Değer</t>
  </si>
  <si>
    <t>Anahtar</t>
  </si>
  <si>
    <t>Konum</t>
  </si>
  <si>
    <t>Hayati</t>
  </si>
  <si>
    <t>Diğer</t>
  </si>
  <si>
    <t>Eşik</t>
  </si>
  <si>
    <t>Hayati liste</t>
  </si>
  <si>
    <t>Hesap alanı (grafik ve sıralama için; değiştirmeyin)</t>
  </si>
  <si>
    <t>Toplam</t>
  </si>
  <si>
    <t>Hayati sayısı / payı →</t>
  </si>
  <si>
    <t>Sonuç</t>
  </si>
  <si>
    <t>Yüzde = kategori toplamı ÷ genel toplam. Kümülatif = o satıra kadarki toplam ÷ genel toplam. Hayati azınlık: kümülatif %80’e ulaşana kadarki kategoriler (eşiği geçen dahil).</t>
  </si>
  <si>
    <t>Pareto Grafiği</t>
  </si>
  <si>
    <t>Sütunlar: kategori toplamı (sol eksen)  ·  çizgi: kümülatif yüzde (sağ eksen)  ·  kesikli çizgi: %80 eşiği</t>
  </si>
  <si>
    <t>Baz (adet / etki) Pareto tablosu sayfasındaki sarı hücreden değiştirilir; grafik kendiliğinden güncellenir.</t>
  </si>
  <si>
    <t>Örnek: paketleme hattı duruşları</t>
  </si>
  <si>
    <t>Bir aylık duruş kayıtları · sıklıkta 6 kategoriden 2’si duruşların %81,7’si; süreye göre tip değişimi de öne çıkar</t>
  </si>
  <si>
    <t>Paketleme hattı 1 · duruşlar</t>
  </si>
  <si>
    <t>Eylül 2026</t>
  </si>
  <si>
    <t>Üretim şefi</t>
  </si>
  <si>
    <t>dk</t>
  </si>
  <si>
    <t>Etiketleyicide etiket sıkışması</t>
  </si>
  <si>
    <t>Ambalaj filmi hatta gelmedi</t>
  </si>
  <si>
    <t>Format değişiminde uzun ayar</t>
  </si>
  <si>
    <t>Koli gelmedi</t>
  </si>
  <si>
    <t>Kapak sızdırmazlık hatası, hat durduruldu</t>
  </si>
  <si>
    <t>Konveyör sensörü arızası</t>
  </si>
  <si>
    <t>Vardiya devrinde hat boş kaldı</t>
  </si>
  <si>
    <t>Etiket rulosu bitti, yedeği yok</t>
  </si>
  <si>
    <t>Acil sipariş için plan değişikliği</t>
  </si>
  <si>
    <t>Pareto grafiği örneği  ·  Baz hücresini “Etki” yapınca süreye göre sıralama görünür</t>
  </si>
  <si>
    <t>Yorum: sıklıkta malzeme bekleme ve arıza duruşların %81,7’sini oluşturur. Süreye (dk) göre ayar / tip değişimi de hayati azınlığa girer (SMED adayı).</t>
  </si>
  <si>
    <t>Sonraki adım: hayati azınlıktaki her kategori için kök nedeni 5 Neden ile bulun; aksiyonlardan sonra aynı süre için Pareto’yu yeniden çizin.</t>
  </si>
  <si>
    <t>Nasıl kullanılır?</t>
  </si>
  <si>
    <t>Pareto analizi (80/20 kuralı): adımlar, formüller ve yorum</t>
  </si>
  <si>
    <t>Adımlar</t>
  </si>
  <si>
    <t>Veri girişi sayfasında süreç, dönem, hazırlayan ve etki birimini (TL, dk…) yazın.</t>
  </si>
  <si>
    <t>Sağdaki kategori listesini düzenleyin (en fazla 15). Önerilenleri değiştirebilir, yenilerini ekleyebilirsiniz.</t>
  </si>
  <si>
    <t>Her problemi bir satıra yazın: kategori açılır listeden seçilir, adet dönem içinde kaç kez yaşandığıdır. Etki isteğe bağlıdır: o kaydın toplam maliyeti ya da süresi.</t>
  </si>
  <si>
    <t>Pareto tablosu kategori toplamlarını büyükten küçüğe sıralar; yüzde, kümülatif yüzde ve hayati azınlık formülle gelir.</t>
  </si>
  <si>
    <t>Pareto grafiği sayfasında sütunlar kategori toplamlarını, çizgi kümülatif yüzdeyi, kesikli çizgi %80 eşiğini gösterir.</t>
  </si>
  <si>
    <t>Baz hücresini “Etki” yaparak sıralamayı maliyete ya da süreye göre görün. En sık sorun ile en pahalı sorun aynı olmayabilir.</t>
  </si>
  <si>
    <t>Hayati azınlıktaki kategorilerde kök nedeni 5 Neden ile bulun; aksiyonlardan sonra aynı süre için Pareto’yu yeniden çizip karşılaştırın.</t>
  </si>
  <si>
    <t>Formüller</t>
  </si>
  <si>
    <t>•</t>
  </si>
  <si>
    <t>Kategori toplamı = ETOPLA / SUMIF(kayıtların kategorisi; kategori; adet).</t>
  </si>
  <si>
    <t>Sıralama: BÜYÜK / LARGE ile en büyük toplam bulunur, KAÇINCI / MATCH ile yeri, İNDİS / INDEX ile kategori adı alınır. Eski Excel ve LibreOffice’te de çalışır.</t>
  </si>
  <si>
    <t>Yüzde = kategori toplamı ÷ genel toplam. Kümülatif yüzde = o satıra kadarki toplam ÷ genel toplam.</t>
  </si>
  <si>
    <t>Hayati azınlık: kümülatif %80’e ulaşana kadarki kategoriler; eşiği geçen kategori de dahildir.</t>
  </si>
  <si>
    <t>Yorum ve ipuçları</t>
  </si>
  <si>
    <t>80/20 kuralı (Vilfredo Pareto, Joseph Juran): sorunların yaklaşık %80’i nedenlerin %20’sinden kaynaklanır. Oran kesin değildir; 70/30 ya da 90/10 da çıkabilir.</t>
  </si>
  <si>
    <t>Juran’ın deyişiyle “hayati azınlık, önemsiz çoğunluk”: önce birkaç büyük kategoriye odaklanın, hepsini aynı anda çözmeye çalışmayın.</t>
  </si>
  <si>
    <t>Kümülatif çizgi düz ve yavaş yükseliyorsa belirgin bir hayati azınlık yoktur; kategorileri yeniden tanımlayın ya da etki bazında bakın.</t>
  </si>
  <si>
    <t>Kategori sayısını 5–10 arasında tutun; çok küçük kategorileri “Diğer” altında toplayın.</t>
  </si>
  <si>
    <t>Pareto nereye bakılacağını gösterir, nedeni göstermez. Kök neden için 5 Neden ve balık kılçığı kullanın.</t>
  </si>
  <si>
    <t>Online araç</t>
  </si>
  <si>
    <t>Telefonda sahada doldurmak için: eproses.com/araclar/pareto-analizi-excel (kayıt yok, PDF ve Excel çıktısı).</t>
  </si>
  <si>
    <t>Kök neden analizi: eproses.com/araclar/5-neden-analizi-formu</t>
  </si>
  <si>
    <t>Sarı hücreler doldurulacak alanlardır; mavi hücreler formülle gelir. Gri yardımcı sütunları silmeyin.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</si>
</sst>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.0%"/>
  </numFmts>
  <fonts count="9" x14ac:knownFonts="1">
    <font>
      <sz val="10"/>
      <color theme="1"/>
      <name val="Arial"/>
      <family val="2"/>
      <charset val="162"/>
    </font>
    <font>
      <b/>
      <sz val="16"/>
      <color rgb="FF12283F"/>
      <name val="Arial"/>
      <family val="2"/>
      <charset val="162"/>
    </font>
    <font>
      <sz val="10"/>
      <color rgb="FF7A8B9C"/>
      <name val="Arial"/>
      <family val="2"/>
      <charset val="162"/>
    </font>
    <font>
      <sz val="9"/>
      <color rgb="FF2F6188"/>
      <name val="Arial"/>
      <family val="2"/>
      <charset val="162"/>
    </font>
    <font>
      <b/>
      <sz val="10"/>
      <color rgb="FFFFFFFF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color rgb="FF12283F"/>
      <name val="Arial"/>
      <family val="2"/>
      <charset val="162"/>
    </font>
    <font>
      <sz val="8"/>
      <color rgb="FF7A8B9C"/>
      <name val="Arial"/>
      <family val="2"/>
      <charset val="162"/>
    </font>
    <font>
      <b/>
      <sz val="10"/>
      <color rgb="FF2F6188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2F6188"/>
        <bgColor indexed="64"/>
      </patternFill>
    </fill>
    <fill>
      <patternFill patternType="solid">
        <fgColor rgb="FFEFF3F7"/>
        <bgColor indexed="64"/>
      </patternFill>
    </fill>
    <fill>
      <patternFill patternType="solid">
        <fgColor rgb="FFFFFBEA"/>
        <bgColor indexed="64"/>
      </patternFill>
    </fill>
    <fill>
      <patternFill patternType="solid">
        <fgColor rgb="FF12283F"/>
        <bgColor indexed="64"/>
      </patternFill>
    </fill>
    <fill>
      <patternFill patternType="solid">
        <fgColor rgb="FFDFE7EE"/>
        <bgColor indexed="64"/>
      </patternFill>
    </fill>
  </fills>
  <borders count="2">
    <border>
      <left/>
      <right/>
      <top/>
      <bottom/>
      <diagonal/>
    </border>
    <border>
      <left style="thin">
        <color rgb="FFD3DAE3"/>
      </left>
      <right style="thin">
        <color rgb="FFD3DAE3"/>
      </right>
      <top style="thin">
        <color rgb="FFD3DAE3"/>
      </top>
      <bottom style="thin">
        <color rgb="FFD3DAE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 indent="7"/>
    </xf>
    <xf numFmtId="0" fontId="2" fillId="0" borderId="0" xfId="0" applyFont="1" applyAlignment="1">
      <alignment horizontal="left" indent="7"/>
    </xf>
    <xf numFmtId="0" fontId="3" fillId="0" borderId="0" xfId="0" applyFont="1" applyAlignment="1">
      <alignment horizontal="left" indent="7"/>
    </xf>
    <xf numFmtId="0" fontId="4" fillId="2" borderId="0" xfId="0" applyFont="1" applyFill="1" applyAlignment="1">
      <alignment vertical="center"/>
    </xf>
    <xf numFmtId="0" fontId="6" fillId="3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vertical="top"/>
    </xf>
    <xf numFmtId="0" fontId="7" fillId="0" borderId="0" xfId="0" applyFont="1"/>
    <xf numFmtId="0" fontId="4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164" fontId="0" fillId="4" borderId="1" xfId="0" applyNumberFormat="1" applyFont="1" applyFill="1" applyBorder="1" applyAlignment="1">
      <alignment vertical="top"/>
    </xf>
    <xf numFmtId="0" fontId="0" fillId="6" borderId="1" xfId="0" applyFont="1" applyFill="1" applyBorder="1"/>
    <xf numFmtId="0" fontId="0" fillId="6" borderId="1" xfId="0" applyFont="1" applyFill="1" applyBorder="1"/>
    <xf numFmtId="0" fontId="0" fillId="6" borderId="1" xfId="0" applyFont="1" applyFill="1" applyBorder="1" applyAlignment="1">
      <alignment horizontal="center"/>
    </xf>
    <xf numFmtId="165" fontId="0" fillId="6" borderId="1" xfId="0" applyNumberFormat="1" applyFont="1" applyFill="1" applyBorder="1"/>
    <xf numFmtId="165" fontId="0" fillId="0" borderId="0" xfId="0" applyNumberFormat="1" applyFont="1"/>
    <xf numFmtId="0" fontId="5" fillId="6" borderId="1" xfId="0" applyFont="1" applyFill="1" applyBorder="1" applyAlignment="1">
      <alignment vertical="top" wrapText="1"/>
    </xf>
    <xf numFmtId="0" fontId="0" fillId="6" borderId="1" xfId="0" applyFont="1" applyFill="1" applyBorder="1" applyAlignment="1">
      <alignment vertical="top" wrapText="1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8" fillId="0" borderId="0" xfId="0" applyFont="1" applyAlignment="1">
      <alignment horizontal="right" vertical="top"/>
    </xf>
    <xf numFmtId="0" fontId="0" fillId="0" borderId="0" xfId="0" applyFont="1" applyAlignment="1">
      <alignment vertical="top" wrapText="1"/>
    </xf>
    <xf numFmtId="0" fontId="8" fillId="0" borderId="0" xfId="0" applyFont="1" applyAlignment="1">
      <alignment vertical="top"/>
    </xf>
  </cellXfs>
  <cellStyles count="1">
    <cellStyle name="Normal" xfId="0" builtinId="0" customBuiltin="1"/>
  </cellStyles>
  <dxfs count="2">
    <dxf>
      <font>
        <b/>
        <i val="0"/>
      </font>
      <fill>
        <patternFill>
          <bgColor rgb="FFFAEBDC"/>
        </patternFill>
      </fill>
    </dxf>
    <dxf>
      <font>
        <b/>
        <i val="0"/>
      </font>
      <fill>
        <patternFill>
          <bgColor rgb="FFFAEBD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r-TR"/>
              <a:t>Pareto grafiği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Hayati azınlık</c:v>
          </c:tx>
          <c:spPr>
            <a:solidFill>
              <a:srgbClr val="E8A672"/>
            </a:solidFill>
          </c:spPr>
          <c:invertIfNegative val="0"/>
          <c:cat>
            <c:multiLvlStrRef>
              <c:f>'Pareto tablosu'!PA_Kat</c:f>
            </c:multiLvlStrRef>
          </c:cat>
          <c:val>
            <c:numRef>
              <c:f>'Pareto tablosu'!PA_Hayati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F0-4473-8FAB-3AFD2C88484C}"/>
            </c:ext>
          </c:extLst>
        </c:ser>
        <c:ser>
          <c:idx val="1"/>
          <c:order val="1"/>
          <c:tx>
            <c:v>Diğer kategoriler</c:v>
          </c:tx>
          <c:spPr>
            <a:solidFill>
              <a:srgbClr val="A8B8C8"/>
            </a:solidFill>
          </c:spPr>
          <c:invertIfNegative val="0"/>
          <c:cat>
            <c:multiLvlStrRef>
              <c:f>'Pareto tablosu'!PA_Kat</c:f>
            </c:multiLvlStrRef>
          </c:cat>
          <c:val>
            <c:numRef>
              <c:f>'Pareto tablosu'!PA_Diger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F0-4473-8FAB-3AFD2C8848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919190784"/>
        <c:axId val="1187944016"/>
      </c:barChart>
      <c:lineChart>
        <c:grouping val="standard"/>
        <c:varyColors val="0"/>
        <c:ser>
          <c:idx val="2"/>
          <c:order val="2"/>
          <c:tx>
            <c:v>Kümülatif %</c:v>
          </c:tx>
          <c:spPr>
            <a:ln w="25400">
              <a:solidFill>
                <a:srgbClr val="12283F"/>
              </a:solidFill>
            </a:ln>
          </c:spPr>
          <c:marker>
            <c:symbol val="circle"/>
            <c:size val="6"/>
            <c:spPr>
              <a:solidFill>
                <a:srgbClr val="12283F"/>
              </a:solidFill>
              <a:ln w="25400">
                <a:solidFill>
                  <a:srgbClr val="12283F"/>
                </a:solidFill>
                <a:prstDash val="solid"/>
              </a:ln>
            </c:spPr>
          </c:marker>
          <c:dLbls>
            <c:numFmt formatCode="0%" sourceLinked="0"/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'Pareto tablosu'!PA_Kat</c:f>
            </c:multiLvlStrRef>
          </c:cat>
          <c:val>
            <c:numRef>
              <c:f>'Pareto tablosu'!PA_Kum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F0-4473-8FAB-3AFD2C88484C}"/>
            </c:ext>
          </c:extLst>
        </c:ser>
        <c:ser>
          <c:idx val="3"/>
          <c:order val="3"/>
          <c:tx>
            <c:v>%80 eşiği</c:v>
          </c:tx>
          <c:spPr>
            <a:ln w="19050">
              <a:solidFill>
                <a:srgbClr val="B4632F"/>
              </a:solidFill>
              <a:prstDash val="dash"/>
            </a:ln>
          </c:spPr>
          <c:marker>
            <c:symbol val="none"/>
          </c:marker>
          <c:cat>
            <c:multiLvlStrRef>
              <c:f>'Pareto tablosu'!PA_Kat</c:f>
            </c:multiLvlStrRef>
          </c:cat>
          <c:val>
            <c:numRef>
              <c:f>'Pareto tablosu'!PA_Esik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9F0-4473-8FAB-3AFD2C8848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9188464"/>
        <c:axId val="1187947376"/>
      </c:lineChart>
      <c:catAx>
        <c:axId val="919190784"/>
        <c:scaling>
          <c:orientation val="minMax"/>
        </c:scaling>
        <c:delete val="0"/>
        <c:axPos val="b"/>
        <c:majorTickMark val="out"/>
        <c:minorTickMark val="none"/>
        <c:tickLblPos val="nextTo"/>
        <c:crossAx val="1187944016"/>
        <c:crosses val="autoZero"/>
        <c:auto val="1"/>
        <c:lblAlgn val="ctr"/>
        <c:lblOffset val="100"/>
        <c:noMultiLvlLbl val="0"/>
      </c:catAx>
      <c:valAx>
        <c:axId val="118794401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9190784"/>
        <c:crosses val="autoZero"/>
        <c:crossBetween val="between"/>
      </c:valAx>
      <c:valAx>
        <c:axId val="1187947376"/>
        <c:scaling>
          <c:orientation val="minMax"/>
          <c:max val="1"/>
          <c:min val="0"/>
        </c:scaling>
        <c:delete val="0"/>
        <c:axPos val="r"/>
        <c:numFmt formatCode="0%" sourceLinked="0"/>
        <c:majorTickMark val="out"/>
        <c:minorTickMark val="none"/>
        <c:tickLblPos val="nextTo"/>
        <c:crossAx val="919188464"/>
        <c:crosses val="max"/>
        <c:crossBetween val="between"/>
        <c:majorUnit val="0.2"/>
      </c:valAx>
      <c:catAx>
        <c:axId val="919188464"/>
        <c:scaling>
          <c:orientation val="minMax"/>
        </c:scaling>
        <c:delete val="1"/>
        <c:axPos val="b"/>
        <c:majorTickMark val="out"/>
        <c:minorTickMark val="none"/>
        <c:tickLblPos val="nextTo"/>
        <c:crossAx val="1187947376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ln>
      <a:solidFill>
        <a:srgbClr val="D3DAE3"/>
      </a:solidFill>
    </a:ln>
  </c:spPr>
  <c:txPr>
    <a:bodyPr/>
    <a:lstStyle/>
    <a:p>
      <a:pPr>
        <a:defRPr>
          <a:latin typeface="Arial"/>
          <a:ea typeface="Arial"/>
          <a:cs typeface="Arial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r-TR"/>
              <a:t>Pareto grafiği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Hayati azınlık</c:v>
          </c:tx>
          <c:spPr>
            <a:solidFill>
              <a:srgbClr val="E8A672"/>
            </a:solidFill>
          </c:spPr>
          <c:invertIfNegative val="0"/>
          <c:cat>
            <c:strRef>
              <c:f>Örnek!PA_Kat</c:f>
              <c:strCache>
                <c:ptCount val="6"/>
                <c:pt idx="0">
                  <c:v>Malzeme bekleme</c:v>
                </c:pt>
                <c:pt idx="1">
                  <c:v>Arıza</c:v>
                </c:pt>
                <c:pt idx="2">
                  <c:v>Ayar / tip değişimi</c:v>
                </c:pt>
                <c:pt idx="3">
                  <c:v>Kalite / fire</c:v>
                </c:pt>
                <c:pt idx="4">
                  <c:v>Personel</c:v>
                </c:pt>
                <c:pt idx="5">
                  <c:v>Planlama</c:v>
                </c:pt>
              </c:strCache>
            </c:strRef>
          </c:cat>
          <c:val>
            <c:numRef>
              <c:f>Örnek!PA_Hayati</c:f>
              <c:numCache>
                <c:formatCode>General</c:formatCode>
                <c:ptCount val="6"/>
                <c:pt idx="0">
                  <c:v>58</c:v>
                </c:pt>
                <c:pt idx="1">
                  <c:v>40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E9-4664-B22B-CFB5B8ADF196}"/>
            </c:ext>
          </c:extLst>
        </c:ser>
        <c:ser>
          <c:idx val="1"/>
          <c:order val="1"/>
          <c:tx>
            <c:v>Diğer kategoriler</c:v>
          </c:tx>
          <c:spPr>
            <a:solidFill>
              <a:srgbClr val="A8B8C8"/>
            </a:solidFill>
          </c:spPr>
          <c:invertIfNegative val="0"/>
          <c:cat>
            <c:strRef>
              <c:f>Örnek!PA_Kat</c:f>
              <c:strCache>
                <c:ptCount val="6"/>
                <c:pt idx="0">
                  <c:v>Malzeme bekleme</c:v>
                </c:pt>
                <c:pt idx="1">
                  <c:v>Arıza</c:v>
                </c:pt>
                <c:pt idx="2">
                  <c:v>Ayar / tip değişimi</c:v>
                </c:pt>
                <c:pt idx="3">
                  <c:v>Kalite / fire</c:v>
                </c:pt>
                <c:pt idx="4">
                  <c:v>Personel</c:v>
                </c:pt>
                <c:pt idx="5">
                  <c:v>Planlama</c:v>
                </c:pt>
              </c:strCache>
            </c:strRef>
          </c:cat>
          <c:val>
            <c:numRef>
              <c:f>Örnek!PA_Diger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9</c:v>
                </c:pt>
                <c:pt idx="3">
                  <c:v>6</c:v>
                </c:pt>
                <c:pt idx="4">
                  <c:v>4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E9-4664-B22B-CFB5B8ADF1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919190320"/>
        <c:axId val="1187994896"/>
      </c:barChart>
      <c:lineChart>
        <c:grouping val="standard"/>
        <c:varyColors val="0"/>
        <c:ser>
          <c:idx val="2"/>
          <c:order val="2"/>
          <c:tx>
            <c:v>Kümülatif %</c:v>
          </c:tx>
          <c:spPr>
            <a:ln w="25400">
              <a:solidFill>
                <a:srgbClr val="12283F"/>
              </a:solidFill>
            </a:ln>
          </c:spPr>
          <c:marker>
            <c:symbol val="circle"/>
            <c:size val="6"/>
            <c:spPr>
              <a:solidFill>
                <a:srgbClr val="12283F"/>
              </a:solidFill>
              <a:ln w="25400">
                <a:solidFill>
                  <a:srgbClr val="12283F"/>
                </a:solidFill>
                <a:prstDash val="solid"/>
              </a:ln>
            </c:spPr>
          </c:marker>
          <c:dLbls>
            <c:numFmt formatCode="0%" sourceLinked="0"/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Örnek!PA_Kat</c:f>
              <c:strCache>
                <c:ptCount val="6"/>
                <c:pt idx="0">
                  <c:v>Malzeme bekleme</c:v>
                </c:pt>
                <c:pt idx="1">
                  <c:v>Arıza</c:v>
                </c:pt>
                <c:pt idx="2">
                  <c:v>Ayar / tip değişimi</c:v>
                </c:pt>
                <c:pt idx="3">
                  <c:v>Kalite / fire</c:v>
                </c:pt>
                <c:pt idx="4">
                  <c:v>Personel</c:v>
                </c:pt>
                <c:pt idx="5">
                  <c:v>Planlama</c:v>
                </c:pt>
              </c:strCache>
            </c:strRef>
          </c:cat>
          <c:val>
            <c:numRef>
              <c:f>Örnek!PA_Kum</c:f>
              <c:numCache>
                <c:formatCode>0.0%</c:formatCode>
                <c:ptCount val="6"/>
                <c:pt idx="0">
                  <c:v>0.48333333333333334</c:v>
                </c:pt>
                <c:pt idx="1">
                  <c:v>0.81666666666666665</c:v>
                </c:pt>
                <c:pt idx="2">
                  <c:v>0.89166666666666672</c:v>
                </c:pt>
                <c:pt idx="3">
                  <c:v>0.94166666666666665</c:v>
                </c:pt>
                <c:pt idx="4">
                  <c:v>0.97499999999999998</c:v>
                </c:pt>
                <c:pt idx="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FE9-4664-B22B-CFB5B8ADF196}"/>
            </c:ext>
          </c:extLst>
        </c:ser>
        <c:ser>
          <c:idx val="3"/>
          <c:order val="3"/>
          <c:tx>
            <c:v>%80 eşiği</c:v>
          </c:tx>
          <c:spPr>
            <a:ln w="19050">
              <a:solidFill>
                <a:srgbClr val="B4632F"/>
              </a:solidFill>
              <a:prstDash val="dash"/>
            </a:ln>
          </c:spPr>
          <c:marker>
            <c:symbol val="none"/>
          </c:marker>
          <c:cat>
            <c:strRef>
              <c:f>Örnek!PA_Kat</c:f>
              <c:strCache>
                <c:ptCount val="6"/>
                <c:pt idx="0">
                  <c:v>Malzeme bekleme</c:v>
                </c:pt>
                <c:pt idx="1">
                  <c:v>Arıza</c:v>
                </c:pt>
                <c:pt idx="2">
                  <c:v>Ayar / tip değişimi</c:v>
                </c:pt>
                <c:pt idx="3">
                  <c:v>Kalite / fire</c:v>
                </c:pt>
                <c:pt idx="4">
                  <c:v>Personel</c:v>
                </c:pt>
                <c:pt idx="5">
                  <c:v>Planlama</c:v>
                </c:pt>
              </c:strCache>
            </c:strRef>
          </c:cat>
          <c:val>
            <c:numRef>
              <c:f>Örnek!PA_Esik</c:f>
              <c:numCache>
                <c:formatCode>General</c:formatCode>
                <c:ptCount val="6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FE9-4664-B22B-CFB5B8ADF1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9193104"/>
        <c:axId val="1187989616"/>
      </c:lineChart>
      <c:catAx>
        <c:axId val="91919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7994896"/>
        <c:crosses val="autoZero"/>
        <c:auto val="1"/>
        <c:lblAlgn val="ctr"/>
        <c:lblOffset val="100"/>
        <c:noMultiLvlLbl val="0"/>
      </c:catAx>
      <c:valAx>
        <c:axId val="118799489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9190320"/>
        <c:crosses val="autoZero"/>
        <c:crossBetween val="between"/>
      </c:valAx>
      <c:valAx>
        <c:axId val="1187989616"/>
        <c:scaling>
          <c:orientation val="minMax"/>
          <c:max val="1"/>
          <c:min val="0"/>
        </c:scaling>
        <c:delete val="0"/>
        <c:axPos val="r"/>
        <c:numFmt formatCode="0%" sourceLinked="0"/>
        <c:majorTickMark val="out"/>
        <c:minorTickMark val="none"/>
        <c:tickLblPos val="nextTo"/>
        <c:crossAx val="919193104"/>
        <c:crosses val="max"/>
        <c:crossBetween val="between"/>
        <c:majorUnit val="0.2"/>
      </c:valAx>
      <c:catAx>
        <c:axId val="919193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87989616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ln>
      <a:solidFill>
        <a:srgbClr val="D3DAE3"/>
      </a:solidFill>
    </a:ln>
  </c:spPr>
  <c:txPr>
    <a:bodyPr/>
    <a:lstStyle/>
    <a:p>
      <a:pPr>
        <a:defRPr>
          <a:latin typeface="Arial"/>
          <a:ea typeface="Arial"/>
          <a:cs typeface="Arial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2</xdr:col>
      <xdr:colOff>625475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FEF56168-4B8C-60FF-03BE-8B86C73D79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2</xdr:col>
      <xdr:colOff>625475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E064F98-9CBE-ECAB-2579-3DFEDED959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2</xdr:col>
      <xdr:colOff>625475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4B72A66A-8385-B5A9-112E-7960A6FCD7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7</xdr:col>
      <xdr:colOff>0</xdr:colOff>
      <xdr:row>34</xdr:row>
      <xdr:rowOff>0</xdr:rowOff>
    </xdr:to>
    <xdr:graphicFrame macro="">
      <xdr:nvGraphicFramePr>
        <xdr:cNvPr id="4" name="Grafik 3">
          <a:extLst>
            <a:ext uri="{FF2B5EF4-FFF2-40B4-BE49-F238E27FC236}">
              <a16:creationId xmlns:a16="http://schemas.microsoft.com/office/drawing/2014/main" id="{007D13C3-79E8-9519-3EA7-52ABF04343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2</xdr:col>
      <xdr:colOff>625475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EA7B4EEB-3942-CEB9-8BD1-8256A25E9B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7</xdr:col>
      <xdr:colOff>0</xdr:colOff>
      <xdr:row>72</xdr:row>
      <xdr:rowOff>0</xdr:rowOff>
    </xdr:to>
    <xdr:graphicFrame macro="">
      <xdr:nvGraphicFramePr>
        <xdr:cNvPr id="4" name="Grafik 3">
          <a:extLst>
            <a:ext uri="{FF2B5EF4-FFF2-40B4-BE49-F238E27FC236}">
              <a16:creationId xmlns:a16="http://schemas.microsoft.com/office/drawing/2014/main" id="{1D5D3C49-A302-DD97-D37E-FF4806DEC9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1</xdr:col>
      <xdr:colOff>73025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3752B107-B7C3-9D6D-7749-1B897DBF8B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677F3-0534-45FE-A4F7-A2FC6D8B68E0}">
  <sheetPr>
    <pageSetUpPr fitToPage="1"/>
  </sheetPr>
  <dimension ref="A1:L160"/>
  <sheetViews>
    <sheetView showGridLines="0" tabSelected="1" workbookViewId="0">
      <selection activeCell="C6" sqref="C6"/>
    </sheetView>
  </sheetViews>
  <sheetFormatPr defaultRowHeight="12.75" x14ac:dyDescent="0.2"/>
  <cols>
    <col min="1" max="1" width="6.7109375" style="1" customWidth="1"/>
    <col min="2" max="2" width="11.7109375" style="1" customWidth="1"/>
    <col min="3" max="3" width="40.7109375" style="1" customWidth="1"/>
    <col min="4" max="4" width="22.7109375" style="1" customWidth="1"/>
    <col min="5" max="5" width="10.7109375" style="1" customWidth="1"/>
    <col min="6" max="6" width="12.7109375" style="1" customWidth="1"/>
    <col min="7" max="7" width="14.7109375" style="1" customWidth="1"/>
    <col min="8" max="8" width="3.7109375" style="1" customWidth="1"/>
    <col min="9" max="9" width="5.7109375" style="1" customWidth="1"/>
    <col min="10" max="10" width="24.7109375" style="1" customWidth="1"/>
    <col min="11" max="12" width="11.7109375" style="1" customWidth="1"/>
    <col min="13" max="16384" width="9.140625" style="1"/>
  </cols>
  <sheetData>
    <row r="1" spans="1:12" ht="30" customHeight="1" x14ac:dyDescent="0.3">
      <c r="C1" s="2" t="s">
        <v>0</v>
      </c>
    </row>
    <row r="2" spans="1:12" ht="21.95" customHeight="1" x14ac:dyDescent="0.2">
      <c r="C2" s="3" t="s">
        <v>1</v>
      </c>
    </row>
    <row r="3" spans="1:12" ht="18" customHeight="1" x14ac:dyDescent="0.2">
      <c r="C3" s="4" t="s">
        <v>2</v>
      </c>
    </row>
    <row r="5" spans="1:12" ht="20.100000000000001" customHeight="1" x14ac:dyDescent="0.2">
      <c r="A5" s="5" t="s">
        <v>3</v>
      </c>
      <c r="B5" s="5"/>
      <c r="C5" s="5"/>
      <c r="D5" s="5"/>
      <c r="E5" s="5"/>
      <c r="F5" s="5"/>
      <c r="G5" s="5"/>
    </row>
    <row r="6" spans="1:12" x14ac:dyDescent="0.2">
      <c r="A6" s="6" t="s">
        <v>4</v>
      </c>
      <c r="B6" s="6"/>
      <c r="C6" s="7"/>
      <c r="D6" s="8" t="s">
        <v>5</v>
      </c>
      <c r="E6" s="9"/>
      <c r="F6" s="9"/>
      <c r="G6" s="9"/>
    </row>
    <row r="7" spans="1:12" x14ac:dyDescent="0.2">
      <c r="A7" s="6" t="s">
        <v>6</v>
      </c>
      <c r="B7" s="6"/>
      <c r="C7" s="7"/>
      <c r="D7" s="8" t="s">
        <v>7</v>
      </c>
      <c r="E7" s="9" t="s">
        <v>8</v>
      </c>
      <c r="F7" s="9"/>
      <c r="G7" s="9"/>
    </row>
    <row r="8" spans="1:12" x14ac:dyDescent="0.2">
      <c r="E8" s="10" t="s">
        <v>9</v>
      </c>
      <c r="J8" s="10" t="s">
        <v>28</v>
      </c>
    </row>
    <row r="9" spans="1:12" ht="20.100000000000001" customHeight="1" x14ac:dyDescent="0.2">
      <c r="A9" s="5" t="s">
        <v>10</v>
      </c>
      <c r="B9" s="5"/>
      <c r="C9" s="5"/>
      <c r="D9" s="5"/>
      <c r="E9" s="5"/>
      <c r="F9" s="5"/>
      <c r="G9" s="5"/>
      <c r="I9" s="5" t="s">
        <v>16</v>
      </c>
      <c r="J9" s="5"/>
      <c r="K9" s="5"/>
      <c r="L9" s="5"/>
    </row>
    <row r="10" spans="1:12" ht="26.1" customHeight="1" x14ac:dyDescent="0.2">
      <c r="A10" s="11" t="s">
        <v>11</v>
      </c>
      <c r="B10" s="11" t="s">
        <v>12</v>
      </c>
      <c r="C10" s="11" t="s">
        <v>13</v>
      </c>
      <c r="D10" s="11" t="s">
        <v>14</v>
      </c>
      <c r="E10" s="11" t="s">
        <v>15</v>
      </c>
      <c r="F10" s="12" t="str">
        <f>"Etki ("&amp;IF($E$7="","TL",$E$7)&amp;")"</f>
        <v>Etki (TL)</v>
      </c>
      <c r="G10" s="12"/>
      <c r="I10" s="11" t="s">
        <v>11</v>
      </c>
      <c r="J10" s="11" t="s">
        <v>17</v>
      </c>
      <c r="K10" s="11" t="s">
        <v>18</v>
      </c>
      <c r="L10" s="11" t="s">
        <v>19</v>
      </c>
    </row>
    <row r="11" spans="1:12" x14ac:dyDescent="0.2">
      <c r="A11" s="13">
        <v>1</v>
      </c>
      <c r="B11" s="14"/>
      <c r="C11" s="7"/>
      <c r="D11" s="7"/>
      <c r="E11" s="7"/>
      <c r="F11" s="9"/>
      <c r="G11" s="9"/>
      <c r="I11" s="13">
        <v>1</v>
      </c>
      <c r="J11" s="7" t="s">
        <v>20</v>
      </c>
      <c r="K11" s="15">
        <f>IF(J11="","",SUMIF($D$11:$D$160,J11,$E$11:$E$160))</f>
        <v>0</v>
      </c>
      <c r="L11" s="15">
        <f>IF(J11="","",SUMIF($D$11:$D$160,J11,$F$11:$F$160))</f>
        <v>0</v>
      </c>
    </row>
    <row r="12" spans="1:12" x14ac:dyDescent="0.2">
      <c r="A12" s="13">
        <v>2</v>
      </c>
      <c r="B12" s="14"/>
      <c r="C12" s="7"/>
      <c r="D12" s="7"/>
      <c r="E12" s="7"/>
      <c r="F12" s="9"/>
      <c r="G12" s="9"/>
      <c r="I12" s="13">
        <v>2</v>
      </c>
      <c r="J12" s="7" t="s">
        <v>21</v>
      </c>
      <c r="K12" s="15">
        <f>IF(J12="","",SUMIF($D$11:$D$160,J12,$E$11:$E$160))</f>
        <v>0</v>
      </c>
      <c r="L12" s="15">
        <f>IF(J12="","",SUMIF($D$11:$D$160,J12,$F$11:$F$160))</f>
        <v>0</v>
      </c>
    </row>
    <row r="13" spans="1:12" x14ac:dyDescent="0.2">
      <c r="A13" s="13">
        <v>3</v>
      </c>
      <c r="B13" s="14"/>
      <c r="C13" s="7"/>
      <c r="D13" s="7"/>
      <c r="E13" s="7"/>
      <c r="F13" s="9"/>
      <c r="G13" s="9"/>
      <c r="I13" s="13">
        <v>3</v>
      </c>
      <c r="J13" s="7" t="s">
        <v>22</v>
      </c>
      <c r="K13" s="15">
        <f>IF(J13="","",SUMIF($D$11:$D$160,J13,$E$11:$E$160))</f>
        <v>0</v>
      </c>
      <c r="L13" s="15">
        <f>IF(J13="","",SUMIF($D$11:$D$160,J13,$F$11:$F$160))</f>
        <v>0</v>
      </c>
    </row>
    <row r="14" spans="1:12" x14ac:dyDescent="0.2">
      <c r="A14" s="13">
        <v>4</v>
      </c>
      <c r="B14" s="14"/>
      <c r="C14" s="7"/>
      <c r="D14" s="7"/>
      <c r="E14" s="7"/>
      <c r="F14" s="9"/>
      <c r="G14" s="9"/>
      <c r="I14" s="13">
        <v>4</v>
      </c>
      <c r="J14" s="7" t="s">
        <v>23</v>
      </c>
      <c r="K14" s="15">
        <f>IF(J14="","",SUMIF($D$11:$D$160,J14,$E$11:$E$160))</f>
        <v>0</v>
      </c>
      <c r="L14" s="15">
        <f>IF(J14="","",SUMIF($D$11:$D$160,J14,$F$11:$F$160))</f>
        <v>0</v>
      </c>
    </row>
    <row r="15" spans="1:12" x14ac:dyDescent="0.2">
      <c r="A15" s="13">
        <v>5</v>
      </c>
      <c r="B15" s="14"/>
      <c r="C15" s="7"/>
      <c r="D15" s="7"/>
      <c r="E15" s="7"/>
      <c r="F15" s="9"/>
      <c r="G15" s="9"/>
      <c r="I15" s="13">
        <v>5</v>
      </c>
      <c r="J15" s="7" t="s">
        <v>24</v>
      </c>
      <c r="K15" s="15">
        <f>IF(J15="","",SUMIF($D$11:$D$160,J15,$E$11:$E$160))</f>
        <v>0</v>
      </c>
      <c r="L15" s="15">
        <f>IF(J15="","",SUMIF($D$11:$D$160,J15,$F$11:$F$160))</f>
        <v>0</v>
      </c>
    </row>
    <row r="16" spans="1:12" x14ac:dyDescent="0.2">
      <c r="A16" s="13">
        <v>6</v>
      </c>
      <c r="B16" s="14"/>
      <c r="C16" s="7"/>
      <c r="D16" s="7"/>
      <c r="E16" s="7"/>
      <c r="F16" s="9"/>
      <c r="G16" s="9"/>
      <c r="I16" s="13">
        <v>6</v>
      </c>
      <c r="J16" s="7" t="s">
        <v>25</v>
      </c>
      <c r="K16" s="15">
        <f>IF(J16="","",SUMIF($D$11:$D$160,J16,$E$11:$E$160))</f>
        <v>0</v>
      </c>
      <c r="L16" s="15">
        <f>IF(J16="","",SUMIF($D$11:$D$160,J16,$F$11:$F$160))</f>
        <v>0</v>
      </c>
    </row>
    <row r="17" spans="1:12" x14ac:dyDescent="0.2">
      <c r="A17" s="13">
        <v>7</v>
      </c>
      <c r="B17" s="14"/>
      <c r="C17" s="7"/>
      <c r="D17" s="7"/>
      <c r="E17" s="7"/>
      <c r="F17" s="9"/>
      <c r="G17" s="9"/>
      <c r="I17" s="13">
        <v>7</v>
      </c>
      <c r="J17" s="7"/>
      <c r="K17" s="15" t="str">
        <f>IF(J17="","",SUMIF($D$11:$D$160,J17,$E$11:$E$160))</f>
        <v/>
      </c>
      <c r="L17" s="15" t="str">
        <f>IF(J17="","",SUMIF($D$11:$D$160,J17,$F$11:$F$160))</f>
        <v/>
      </c>
    </row>
    <row r="18" spans="1:12" x14ac:dyDescent="0.2">
      <c r="A18" s="13">
        <v>8</v>
      </c>
      <c r="B18" s="14"/>
      <c r="C18" s="7"/>
      <c r="D18" s="7"/>
      <c r="E18" s="7"/>
      <c r="F18" s="9"/>
      <c r="G18" s="9"/>
      <c r="I18" s="13">
        <v>8</v>
      </c>
      <c r="J18" s="7"/>
      <c r="K18" s="15" t="str">
        <f>IF(J18="","",SUMIF($D$11:$D$160,J18,$E$11:$E$160))</f>
        <v/>
      </c>
      <c r="L18" s="15" t="str">
        <f>IF(J18="","",SUMIF($D$11:$D$160,J18,$F$11:$F$160))</f>
        <v/>
      </c>
    </row>
    <row r="19" spans="1:12" x14ac:dyDescent="0.2">
      <c r="A19" s="13">
        <v>9</v>
      </c>
      <c r="B19" s="14"/>
      <c r="C19" s="7"/>
      <c r="D19" s="7"/>
      <c r="E19" s="7"/>
      <c r="F19" s="9"/>
      <c r="G19" s="9"/>
      <c r="I19" s="13">
        <v>9</v>
      </c>
      <c r="J19" s="7"/>
      <c r="K19" s="15" t="str">
        <f>IF(J19="","",SUMIF($D$11:$D$160,J19,$E$11:$E$160))</f>
        <v/>
      </c>
      <c r="L19" s="15" t="str">
        <f>IF(J19="","",SUMIF($D$11:$D$160,J19,$F$11:$F$160))</f>
        <v/>
      </c>
    </row>
    <row r="20" spans="1:12" x14ac:dyDescent="0.2">
      <c r="A20" s="13">
        <v>10</v>
      </c>
      <c r="B20" s="14"/>
      <c r="C20" s="7"/>
      <c r="D20" s="7"/>
      <c r="E20" s="7"/>
      <c r="F20" s="9"/>
      <c r="G20" s="9"/>
      <c r="I20" s="13">
        <v>10</v>
      </c>
      <c r="J20" s="7"/>
      <c r="K20" s="15" t="str">
        <f>IF(J20="","",SUMIF($D$11:$D$160,J20,$E$11:$E$160))</f>
        <v/>
      </c>
      <c r="L20" s="15" t="str">
        <f>IF(J20="","",SUMIF($D$11:$D$160,J20,$F$11:$F$160))</f>
        <v/>
      </c>
    </row>
    <row r="21" spans="1:12" x14ac:dyDescent="0.2">
      <c r="A21" s="13">
        <v>11</v>
      </c>
      <c r="B21" s="14"/>
      <c r="C21" s="7"/>
      <c r="D21" s="7"/>
      <c r="E21" s="7"/>
      <c r="F21" s="9"/>
      <c r="G21" s="9"/>
      <c r="I21" s="13">
        <v>11</v>
      </c>
      <c r="J21" s="7"/>
      <c r="K21" s="15" t="str">
        <f>IF(J21="","",SUMIF($D$11:$D$160,J21,$E$11:$E$160))</f>
        <v/>
      </c>
      <c r="L21" s="15" t="str">
        <f>IF(J21="","",SUMIF($D$11:$D$160,J21,$F$11:$F$160))</f>
        <v/>
      </c>
    </row>
    <row r="22" spans="1:12" x14ac:dyDescent="0.2">
      <c r="A22" s="13">
        <v>12</v>
      </c>
      <c r="B22" s="14"/>
      <c r="C22" s="7"/>
      <c r="D22" s="7"/>
      <c r="E22" s="7"/>
      <c r="F22" s="9"/>
      <c r="G22" s="9"/>
      <c r="I22" s="13">
        <v>12</v>
      </c>
      <c r="J22" s="7"/>
      <c r="K22" s="15" t="str">
        <f>IF(J22="","",SUMIF($D$11:$D$160,J22,$E$11:$E$160))</f>
        <v/>
      </c>
      <c r="L22" s="15" t="str">
        <f>IF(J22="","",SUMIF($D$11:$D$160,J22,$F$11:$F$160))</f>
        <v/>
      </c>
    </row>
    <row r="23" spans="1:12" x14ac:dyDescent="0.2">
      <c r="A23" s="13">
        <v>13</v>
      </c>
      <c r="B23" s="14"/>
      <c r="C23" s="7"/>
      <c r="D23" s="7"/>
      <c r="E23" s="7"/>
      <c r="F23" s="9"/>
      <c r="G23" s="9"/>
      <c r="I23" s="13">
        <v>13</v>
      </c>
      <c r="J23" s="7"/>
      <c r="K23" s="15" t="str">
        <f>IF(J23="","",SUMIF($D$11:$D$160,J23,$E$11:$E$160))</f>
        <v/>
      </c>
      <c r="L23" s="15" t="str">
        <f>IF(J23="","",SUMIF($D$11:$D$160,J23,$F$11:$F$160))</f>
        <v/>
      </c>
    </row>
    <row r="24" spans="1:12" x14ac:dyDescent="0.2">
      <c r="A24" s="13">
        <v>14</v>
      </c>
      <c r="B24" s="14"/>
      <c r="C24" s="7"/>
      <c r="D24" s="7"/>
      <c r="E24" s="7"/>
      <c r="F24" s="9"/>
      <c r="G24" s="9"/>
      <c r="I24" s="13">
        <v>14</v>
      </c>
      <c r="J24" s="7"/>
      <c r="K24" s="15" t="str">
        <f>IF(J24="","",SUMIF($D$11:$D$160,J24,$E$11:$E$160))</f>
        <v/>
      </c>
      <c r="L24" s="15" t="str">
        <f>IF(J24="","",SUMIF($D$11:$D$160,J24,$F$11:$F$160))</f>
        <v/>
      </c>
    </row>
    <row r="25" spans="1:12" x14ac:dyDescent="0.2">
      <c r="A25" s="13">
        <v>15</v>
      </c>
      <c r="B25" s="14"/>
      <c r="C25" s="7"/>
      <c r="D25" s="7"/>
      <c r="E25" s="7"/>
      <c r="F25" s="9"/>
      <c r="G25" s="9"/>
      <c r="I25" s="13">
        <v>15</v>
      </c>
      <c r="J25" s="7"/>
      <c r="K25" s="15" t="str">
        <f>IF(J25="","",SUMIF($D$11:$D$160,J25,$E$11:$E$160))</f>
        <v/>
      </c>
      <c r="L25" s="15" t="str">
        <f>IF(J25="","",SUMIF($D$11:$D$160,J25,$F$11:$F$160))</f>
        <v/>
      </c>
    </row>
    <row r="26" spans="1:12" x14ac:dyDescent="0.2">
      <c r="A26" s="13">
        <v>16</v>
      </c>
      <c r="B26" s="14"/>
      <c r="C26" s="7"/>
      <c r="D26" s="7"/>
      <c r="E26" s="7"/>
      <c r="F26" s="9"/>
      <c r="G26" s="9"/>
    </row>
    <row r="27" spans="1:12" x14ac:dyDescent="0.2">
      <c r="A27" s="13">
        <v>17</v>
      </c>
      <c r="B27" s="14"/>
      <c r="C27" s="7"/>
      <c r="D27" s="7"/>
      <c r="E27" s="7"/>
      <c r="F27" s="9"/>
      <c r="G27" s="9"/>
      <c r="I27" s="10" t="s">
        <v>26</v>
      </c>
    </row>
    <row r="28" spans="1:12" x14ac:dyDescent="0.2">
      <c r="A28" s="13">
        <v>18</v>
      </c>
      <c r="B28" s="14"/>
      <c r="C28" s="7"/>
      <c r="D28" s="7"/>
      <c r="E28" s="7"/>
      <c r="F28" s="9"/>
      <c r="G28" s="9"/>
      <c r="I28" s="10" t="s">
        <v>27</v>
      </c>
    </row>
    <row r="29" spans="1:12" x14ac:dyDescent="0.2">
      <c r="A29" s="13">
        <v>19</v>
      </c>
      <c r="B29" s="14"/>
      <c r="C29" s="7"/>
      <c r="D29" s="7"/>
      <c r="E29" s="7"/>
      <c r="F29" s="9"/>
      <c r="G29" s="9"/>
    </row>
    <row r="30" spans="1:12" x14ac:dyDescent="0.2">
      <c r="A30" s="13">
        <v>20</v>
      </c>
      <c r="B30" s="14"/>
      <c r="C30" s="7"/>
      <c r="D30" s="7"/>
      <c r="E30" s="7"/>
      <c r="F30" s="9"/>
      <c r="G30" s="9"/>
    </row>
    <row r="31" spans="1:12" x14ac:dyDescent="0.2">
      <c r="A31" s="13">
        <v>21</v>
      </c>
      <c r="B31" s="14"/>
      <c r="C31" s="7"/>
      <c r="D31" s="7"/>
      <c r="E31" s="7"/>
      <c r="F31" s="9"/>
      <c r="G31" s="9"/>
    </row>
    <row r="32" spans="1:12" x14ac:dyDescent="0.2">
      <c r="A32" s="13">
        <v>22</v>
      </c>
      <c r="B32" s="14"/>
      <c r="C32" s="7"/>
      <c r="D32" s="7"/>
      <c r="E32" s="7"/>
      <c r="F32" s="9"/>
      <c r="G32" s="9"/>
    </row>
    <row r="33" spans="1:7" x14ac:dyDescent="0.2">
      <c r="A33" s="13">
        <v>23</v>
      </c>
      <c r="B33" s="14"/>
      <c r="C33" s="7"/>
      <c r="D33" s="7"/>
      <c r="E33" s="7"/>
      <c r="F33" s="9"/>
      <c r="G33" s="9"/>
    </row>
    <row r="34" spans="1:7" x14ac:dyDescent="0.2">
      <c r="A34" s="13">
        <v>24</v>
      </c>
      <c r="B34" s="14"/>
      <c r="C34" s="7"/>
      <c r="D34" s="7"/>
      <c r="E34" s="7"/>
      <c r="F34" s="9"/>
      <c r="G34" s="9"/>
    </row>
    <row r="35" spans="1:7" x14ac:dyDescent="0.2">
      <c r="A35" s="13">
        <v>25</v>
      </c>
      <c r="B35" s="14"/>
      <c r="C35" s="7"/>
      <c r="D35" s="7"/>
      <c r="E35" s="7"/>
      <c r="F35" s="9"/>
      <c r="G35" s="9"/>
    </row>
    <row r="36" spans="1:7" x14ac:dyDescent="0.2">
      <c r="A36" s="13">
        <v>26</v>
      </c>
      <c r="B36" s="14"/>
      <c r="C36" s="7"/>
      <c r="D36" s="7"/>
      <c r="E36" s="7"/>
      <c r="F36" s="9"/>
      <c r="G36" s="9"/>
    </row>
    <row r="37" spans="1:7" x14ac:dyDescent="0.2">
      <c r="A37" s="13">
        <v>27</v>
      </c>
      <c r="B37" s="14"/>
      <c r="C37" s="7"/>
      <c r="D37" s="7"/>
      <c r="E37" s="7"/>
      <c r="F37" s="9"/>
      <c r="G37" s="9"/>
    </row>
    <row r="38" spans="1:7" x14ac:dyDescent="0.2">
      <c r="A38" s="13">
        <v>28</v>
      </c>
      <c r="B38" s="14"/>
      <c r="C38" s="7"/>
      <c r="D38" s="7"/>
      <c r="E38" s="7"/>
      <c r="F38" s="9"/>
      <c r="G38" s="9"/>
    </row>
    <row r="39" spans="1:7" x14ac:dyDescent="0.2">
      <c r="A39" s="13">
        <v>29</v>
      </c>
      <c r="B39" s="14"/>
      <c r="C39" s="7"/>
      <c r="D39" s="7"/>
      <c r="E39" s="7"/>
      <c r="F39" s="9"/>
      <c r="G39" s="9"/>
    </row>
    <row r="40" spans="1:7" x14ac:dyDescent="0.2">
      <c r="A40" s="13">
        <v>30</v>
      </c>
      <c r="B40" s="14"/>
      <c r="C40" s="7"/>
      <c r="D40" s="7"/>
      <c r="E40" s="7"/>
      <c r="F40" s="9"/>
      <c r="G40" s="9"/>
    </row>
    <row r="41" spans="1:7" x14ac:dyDescent="0.2">
      <c r="A41" s="13">
        <v>31</v>
      </c>
      <c r="B41" s="14"/>
      <c r="C41" s="7"/>
      <c r="D41" s="7"/>
      <c r="E41" s="7"/>
      <c r="F41" s="9"/>
      <c r="G41" s="9"/>
    </row>
    <row r="42" spans="1:7" x14ac:dyDescent="0.2">
      <c r="A42" s="13">
        <v>32</v>
      </c>
      <c r="B42" s="14"/>
      <c r="C42" s="7"/>
      <c r="D42" s="7"/>
      <c r="E42" s="7"/>
      <c r="F42" s="9"/>
      <c r="G42" s="9"/>
    </row>
    <row r="43" spans="1:7" x14ac:dyDescent="0.2">
      <c r="A43" s="13">
        <v>33</v>
      </c>
      <c r="B43" s="14"/>
      <c r="C43" s="7"/>
      <c r="D43" s="7"/>
      <c r="E43" s="7"/>
      <c r="F43" s="9"/>
      <c r="G43" s="9"/>
    </row>
    <row r="44" spans="1:7" x14ac:dyDescent="0.2">
      <c r="A44" s="13">
        <v>34</v>
      </c>
      <c r="B44" s="14"/>
      <c r="C44" s="7"/>
      <c r="D44" s="7"/>
      <c r="E44" s="7"/>
      <c r="F44" s="9"/>
      <c r="G44" s="9"/>
    </row>
    <row r="45" spans="1:7" x14ac:dyDescent="0.2">
      <c r="A45" s="13">
        <v>35</v>
      </c>
      <c r="B45" s="14"/>
      <c r="C45" s="7"/>
      <c r="D45" s="7"/>
      <c r="E45" s="7"/>
      <c r="F45" s="9"/>
      <c r="G45" s="9"/>
    </row>
    <row r="46" spans="1:7" x14ac:dyDescent="0.2">
      <c r="A46" s="13">
        <v>36</v>
      </c>
      <c r="B46" s="14"/>
      <c r="C46" s="7"/>
      <c r="D46" s="7"/>
      <c r="E46" s="7"/>
      <c r="F46" s="9"/>
      <c r="G46" s="9"/>
    </row>
    <row r="47" spans="1:7" x14ac:dyDescent="0.2">
      <c r="A47" s="13">
        <v>37</v>
      </c>
      <c r="B47" s="14"/>
      <c r="C47" s="7"/>
      <c r="D47" s="7"/>
      <c r="E47" s="7"/>
      <c r="F47" s="9"/>
      <c r="G47" s="9"/>
    </row>
    <row r="48" spans="1:7" x14ac:dyDescent="0.2">
      <c r="A48" s="13">
        <v>38</v>
      </c>
      <c r="B48" s="14"/>
      <c r="C48" s="7"/>
      <c r="D48" s="7"/>
      <c r="E48" s="7"/>
      <c r="F48" s="9"/>
      <c r="G48" s="9"/>
    </row>
    <row r="49" spans="1:7" x14ac:dyDescent="0.2">
      <c r="A49" s="13">
        <v>39</v>
      </c>
      <c r="B49" s="14"/>
      <c r="C49" s="7"/>
      <c r="D49" s="7"/>
      <c r="E49" s="7"/>
      <c r="F49" s="9"/>
      <c r="G49" s="9"/>
    </row>
    <row r="50" spans="1:7" x14ac:dyDescent="0.2">
      <c r="A50" s="13">
        <v>40</v>
      </c>
      <c r="B50" s="14"/>
      <c r="C50" s="7"/>
      <c r="D50" s="7"/>
      <c r="E50" s="7"/>
      <c r="F50" s="9"/>
      <c r="G50" s="9"/>
    </row>
    <row r="51" spans="1:7" x14ac:dyDescent="0.2">
      <c r="A51" s="13">
        <v>41</v>
      </c>
      <c r="B51" s="14"/>
      <c r="C51" s="7"/>
      <c r="D51" s="7"/>
      <c r="E51" s="7"/>
      <c r="F51" s="9"/>
      <c r="G51" s="9"/>
    </row>
    <row r="52" spans="1:7" x14ac:dyDescent="0.2">
      <c r="A52" s="13">
        <v>42</v>
      </c>
      <c r="B52" s="14"/>
      <c r="C52" s="7"/>
      <c r="D52" s="7"/>
      <c r="E52" s="7"/>
      <c r="F52" s="9"/>
      <c r="G52" s="9"/>
    </row>
    <row r="53" spans="1:7" x14ac:dyDescent="0.2">
      <c r="A53" s="13">
        <v>43</v>
      </c>
      <c r="B53" s="14"/>
      <c r="C53" s="7"/>
      <c r="D53" s="7"/>
      <c r="E53" s="7"/>
      <c r="F53" s="9"/>
      <c r="G53" s="9"/>
    </row>
    <row r="54" spans="1:7" x14ac:dyDescent="0.2">
      <c r="A54" s="13">
        <v>44</v>
      </c>
      <c r="B54" s="14"/>
      <c r="C54" s="7"/>
      <c r="D54" s="7"/>
      <c r="E54" s="7"/>
      <c r="F54" s="9"/>
      <c r="G54" s="9"/>
    </row>
    <row r="55" spans="1:7" x14ac:dyDescent="0.2">
      <c r="A55" s="13">
        <v>45</v>
      </c>
      <c r="B55" s="14"/>
      <c r="C55" s="7"/>
      <c r="D55" s="7"/>
      <c r="E55" s="7"/>
      <c r="F55" s="9"/>
      <c r="G55" s="9"/>
    </row>
    <row r="56" spans="1:7" x14ac:dyDescent="0.2">
      <c r="A56" s="13">
        <v>46</v>
      </c>
      <c r="B56" s="14"/>
      <c r="C56" s="7"/>
      <c r="D56" s="7"/>
      <c r="E56" s="7"/>
      <c r="F56" s="9"/>
      <c r="G56" s="9"/>
    </row>
    <row r="57" spans="1:7" x14ac:dyDescent="0.2">
      <c r="A57" s="13">
        <v>47</v>
      </c>
      <c r="B57" s="14"/>
      <c r="C57" s="7"/>
      <c r="D57" s="7"/>
      <c r="E57" s="7"/>
      <c r="F57" s="9"/>
      <c r="G57" s="9"/>
    </row>
    <row r="58" spans="1:7" x14ac:dyDescent="0.2">
      <c r="A58" s="13">
        <v>48</v>
      </c>
      <c r="B58" s="14"/>
      <c r="C58" s="7"/>
      <c r="D58" s="7"/>
      <c r="E58" s="7"/>
      <c r="F58" s="9"/>
      <c r="G58" s="9"/>
    </row>
    <row r="59" spans="1:7" x14ac:dyDescent="0.2">
      <c r="A59" s="13">
        <v>49</v>
      </c>
      <c r="B59" s="14"/>
      <c r="C59" s="7"/>
      <c r="D59" s="7"/>
      <c r="E59" s="7"/>
      <c r="F59" s="9"/>
      <c r="G59" s="9"/>
    </row>
    <row r="60" spans="1:7" x14ac:dyDescent="0.2">
      <c r="A60" s="13">
        <v>50</v>
      </c>
      <c r="B60" s="14"/>
      <c r="C60" s="7"/>
      <c r="D60" s="7"/>
      <c r="E60" s="7"/>
      <c r="F60" s="9"/>
      <c r="G60" s="9"/>
    </row>
    <row r="61" spans="1:7" x14ac:dyDescent="0.2">
      <c r="A61" s="13">
        <v>51</v>
      </c>
      <c r="B61" s="14"/>
      <c r="C61" s="7"/>
      <c r="D61" s="7"/>
      <c r="E61" s="7"/>
      <c r="F61" s="9"/>
      <c r="G61" s="9"/>
    </row>
    <row r="62" spans="1:7" x14ac:dyDescent="0.2">
      <c r="A62" s="13">
        <v>52</v>
      </c>
      <c r="B62" s="14"/>
      <c r="C62" s="7"/>
      <c r="D62" s="7"/>
      <c r="E62" s="7"/>
      <c r="F62" s="9"/>
      <c r="G62" s="9"/>
    </row>
    <row r="63" spans="1:7" x14ac:dyDescent="0.2">
      <c r="A63" s="13">
        <v>53</v>
      </c>
      <c r="B63" s="14"/>
      <c r="C63" s="7"/>
      <c r="D63" s="7"/>
      <c r="E63" s="7"/>
      <c r="F63" s="9"/>
      <c r="G63" s="9"/>
    </row>
    <row r="64" spans="1:7" x14ac:dyDescent="0.2">
      <c r="A64" s="13">
        <v>54</v>
      </c>
      <c r="B64" s="14"/>
      <c r="C64" s="7"/>
      <c r="D64" s="7"/>
      <c r="E64" s="7"/>
      <c r="F64" s="9"/>
      <c r="G64" s="9"/>
    </row>
    <row r="65" spans="1:7" x14ac:dyDescent="0.2">
      <c r="A65" s="13">
        <v>55</v>
      </c>
      <c r="B65" s="14"/>
      <c r="C65" s="7"/>
      <c r="D65" s="7"/>
      <c r="E65" s="7"/>
      <c r="F65" s="9"/>
      <c r="G65" s="9"/>
    </row>
    <row r="66" spans="1:7" x14ac:dyDescent="0.2">
      <c r="A66" s="13">
        <v>56</v>
      </c>
      <c r="B66" s="14"/>
      <c r="C66" s="7"/>
      <c r="D66" s="7"/>
      <c r="E66" s="7"/>
      <c r="F66" s="9"/>
      <c r="G66" s="9"/>
    </row>
    <row r="67" spans="1:7" x14ac:dyDescent="0.2">
      <c r="A67" s="13">
        <v>57</v>
      </c>
      <c r="B67" s="14"/>
      <c r="C67" s="7"/>
      <c r="D67" s="7"/>
      <c r="E67" s="7"/>
      <c r="F67" s="9"/>
      <c r="G67" s="9"/>
    </row>
    <row r="68" spans="1:7" x14ac:dyDescent="0.2">
      <c r="A68" s="13">
        <v>58</v>
      </c>
      <c r="B68" s="14"/>
      <c r="C68" s="7"/>
      <c r="D68" s="7"/>
      <c r="E68" s="7"/>
      <c r="F68" s="9"/>
      <c r="G68" s="9"/>
    </row>
    <row r="69" spans="1:7" x14ac:dyDescent="0.2">
      <c r="A69" s="13">
        <v>59</v>
      </c>
      <c r="B69" s="14"/>
      <c r="C69" s="7"/>
      <c r="D69" s="7"/>
      <c r="E69" s="7"/>
      <c r="F69" s="9"/>
      <c r="G69" s="9"/>
    </row>
    <row r="70" spans="1:7" x14ac:dyDescent="0.2">
      <c r="A70" s="13">
        <v>60</v>
      </c>
      <c r="B70" s="14"/>
      <c r="C70" s="7"/>
      <c r="D70" s="7"/>
      <c r="E70" s="7"/>
      <c r="F70" s="9"/>
      <c r="G70" s="9"/>
    </row>
    <row r="71" spans="1:7" x14ac:dyDescent="0.2">
      <c r="A71" s="13">
        <v>61</v>
      </c>
      <c r="B71" s="14"/>
      <c r="C71" s="7"/>
      <c r="D71" s="7"/>
      <c r="E71" s="7"/>
      <c r="F71" s="9"/>
      <c r="G71" s="9"/>
    </row>
    <row r="72" spans="1:7" x14ac:dyDescent="0.2">
      <c r="A72" s="13">
        <v>62</v>
      </c>
      <c r="B72" s="14"/>
      <c r="C72" s="7"/>
      <c r="D72" s="7"/>
      <c r="E72" s="7"/>
      <c r="F72" s="9"/>
      <c r="G72" s="9"/>
    </row>
    <row r="73" spans="1:7" x14ac:dyDescent="0.2">
      <c r="A73" s="13">
        <v>63</v>
      </c>
      <c r="B73" s="14"/>
      <c r="C73" s="7"/>
      <c r="D73" s="7"/>
      <c r="E73" s="7"/>
      <c r="F73" s="9"/>
      <c r="G73" s="9"/>
    </row>
    <row r="74" spans="1:7" x14ac:dyDescent="0.2">
      <c r="A74" s="13">
        <v>64</v>
      </c>
      <c r="B74" s="14"/>
      <c r="C74" s="7"/>
      <c r="D74" s="7"/>
      <c r="E74" s="7"/>
      <c r="F74" s="9"/>
      <c r="G74" s="9"/>
    </row>
    <row r="75" spans="1:7" x14ac:dyDescent="0.2">
      <c r="A75" s="13">
        <v>65</v>
      </c>
      <c r="B75" s="14"/>
      <c r="C75" s="7"/>
      <c r="D75" s="7"/>
      <c r="E75" s="7"/>
      <c r="F75" s="9"/>
      <c r="G75" s="9"/>
    </row>
    <row r="76" spans="1:7" x14ac:dyDescent="0.2">
      <c r="A76" s="13">
        <v>66</v>
      </c>
      <c r="B76" s="14"/>
      <c r="C76" s="7"/>
      <c r="D76" s="7"/>
      <c r="E76" s="7"/>
      <c r="F76" s="9"/>
      <c r="G76" s="9"/>
    </row>
    <row r="77" spans="1:7" x14ac:dyDescent="0.2">
      <c r="A77" s="13">
        <v>67</v>
      </c>
      <c r="B77" s="14"/>
      <c r="C77" s="7"/>
      <c r="D77" s="7"/>
      <c r="E77" s="7"/>
      <c r="F77" s="9"/>
      <c r="G77" s="9"/>
    </row>
    <row r="78" spans="1:7" x14ac:dyDescent="0.2">
      <c r="A78" s="13">
        <v>68</v>
      </c>
      <c r="B78" s="14"/>
      <c r="C78" s="7"/>
      <c r="D78" s="7"/>
      <c r="E78" s="7"/>
      <c r="F78" s="9"/>
      <c r="G78" s="9"/>
    </row>
    <row r="79" spans="1:7" x14ac:dyDescent="0.2">
      <c r="A79" s="13">
        <v>69</v>
      </c>
      <c r="B79" s="14"/>
      <c r="C79" s="7"/>
      <c r="D79" s="7"/>
      <c r="E79" s="7"/>
      <c r="F79" s="9"/>
      <c r="G79" s="9"/>
    </row>
    <row r="80" spans="1:7" x14ac:dyDescent="0.2">
      <c r="A80" s="13">
        <v>70</v>
      </c>
      <c r="B80" s="14"/>
      <c r="C80" s="7"/>
      <c r="D80" s="7"/>
      <c r="E80" s="7"/>
      <c r="F80" s="9"/>
      <c r="G80" s="9"/>
    </row>
    <row r="81" spans="1:7" x14ac:dyDescent="0.2">
      <c r="A81" s="13">
        <v>71</v>
      </c>
      <c r="B81" s="14"/>
      <c r="C81" s="7"/>
      <c r="D81" s="7"/>
      <c r="E81" s="7"/>
      <c r="F81" s="9"/>
      <c r="G81" s="9"/>
    </row>
    <row r="82" spans="1:7" x14ac:dyDescent="0.2">
      <c r="A82" s="13">
        <v>72</v>
      </c>
      <c r="B82" s="14"/>
      <c r="C82" s="7"/>
      <c r="D82" s="7"/>
      <c r="E82" s="7"/>
      <c r="F82" s="9"/>
      <c r="G82" s="9"/>
    </row>
    <row r="83" spans="1:7" x14ac:dyDescent="0.2">
      <c r="A83" s="13">
        <v>73</v>
      </c>
      <c r="B83" s="14"/>
      <c r="C83" s="7"/>
      <c r="D83" s="7"/>
      <c r="E83" s="7"/>
      <c r="F83" s="9"/>
      <c r="G83" s="9"/>
    </row>
    <row r="84" spans="1:7" x14ac:dyDescent="0.2">
      <c r="A84" s="13">
        <v>74</v>
      </c>
      <c r="B84" s="14"/>
      <c r="C84" s="7"/>
      <c r="D84" s="7"/>
      <c r="E84" s="7"/>
      <c r="F84" s="9"/>
      <c r="G84" s="9"/>
    </row>
    <row r="85" spans="1:7" x14ac:dyDescent="0.2">
      <c r="A85" s="13">
        <v>75</v>
      </c>
      <c r="B85" s="14"/>
      <c r="C85" s="7"/>
      <c r="D85" s="7"/>
      <c r="E85" s="7"/>
      <c r="F85" s="9"/>
      <c r="G85" s="9"/>
    </row>
    <row r="86" spans="1:7" x14ac:dyDescent="0.2">
      <c r="A86" s="13">
        <v>76</v>
      </c>
      <c r="B86" s="14"/>
      <c r="C86" s="7"/>
      <c r="D86" s="7"/>
      <c r="E86" s="7"/>
      <c r="F86" s="9"/>
      <c r="G86" s="9"/>
    </row>
    <row r="87" spans="1:7" x14ac:dyDescent="0.2">
      <c r="A87" s="13">
        <v>77</v>
      </c>
      <c r="B87" s="14"/>
      <c r="C87" s="7"/>
      <c r="D87" s="7"/>
      <c r="E87" s="7"/>
      <c r="F87" s="9"/>
      <c r="G87" s="9"/>
    </row>
    <row r="88" spans="1:7" x14ac:dyDescent="0.2">
      <c r="A88" s="13">
        <v>78</v>
      </c>
      <c r="B88" s="14"/>
      <c r="C88" s="7"/>
      <c r="D88" s="7"/>
      <c r="E88" s="7"/>
      <c r="F88" s="9"/>
      <c r="G88" s="9"/>
    </row>
    <row r="89" spans="1:7" x14ac:dyDescent="0.2">
      <c r="A89" s="13">
        <v>79</v>
      </c>
      <c r="B89" s="14"/>
      <c r="C89" s="7"/>
      <c r="D89" s="7"/>
      <c r="E89" s="7"/>
      <c r="F89" s="9"/>
      <c r="G89" s="9"/>
    </row>
    <row r="90" spans="1:7" x14ac:dyDescent="0.2">
      <c r="A90" s="13">
        <v>80</v>
      </c>
      <c r="B90" s="14"/>
      <c r="C90" s="7"/>
      <c r="D90" s="7"/>
      <c r="E90" s="7"/>
      <c r="F90" s="9"/>
      <c r="G90" s="9"/>
    </row>
    <row r="91" spans="1:7" x14ac:dyDescent="0.2">
      <c r="A91" s="13">
        <v>81</v>
      </c>
      <c r="B91" s="14"/>
      <c r="C91" s="7"/>
      <c r="D91" s="7"/>
      <c r="E91" s="7"/>
      <c r="F91" s="9"/>
      <c r="G91" s="9"/>
    </row>
    <row r="92" spans="1:7" x14ac:dyDescent="0.2">
      <c r="A92" s="13">
        <v>82</v>
      </c>
      <c r="B92" s="14"/>
      <c r="C92" s="7"/>
      <c r="D92" s="7"/>
      <c r="E92" s="7"/>
      <c r="F92" s="9"/>
      <c r="G92" s="9"/>
    </row>
    <row r="93" spans="1:7" x14ac:dyDescent="0.2">
      <c r="A93" s="13">
        <v>83</v>
      </c>
      <c r="B93" s="14"/>
      <c r="C93" s="7"/>
      <c r="D93" s="7"/>
      <c r="E93" s="7"/>
      <c r="F93" s="9"/>
      <c r="G93" s="9"/>
    </row>
    <row r="94" spans="1:7" x14ac:dyDescent="0.2">
      <c r="A94" s="13">
        <v>84</v>
      </c>
      <c r="B94" s="14"/>
      <c r="C94" s="7"/>
      <c r="D94" s="7"/>
      <c r="E94" s="7"/>
      <c r="F94" s="9"/>
      <c r="G94" s="9"/>
    </row>
    <row r="95" spans="1:7" x14ac:dyDescent="0.2">
      <c r="A95" s="13">
        <v>85</v>
      </c>
      <c r="B95" s="14"/>
      <c r="C95" s="7"/>
      <c r="D95" s="7"/>
      <c r="E95" s="7"/>
      <c r="F95" s="9"/>
      <c r="G95" s="9"/>
    </row>
    <row r="96" spans="1:7" x14ac:dyDescent="0.2">
      <c r="A96" s="13">
        <v>86</v>
      </c>
      <c r="B96" s="14"/>
      <c r="C96" s="7"/>
      <c r="D96" s="7"/>
      <c r="E96" s="7"/>
      <c r="F96" s="9"/>
      <c r="G96" s="9"/>
    </row>
    <row r="97" spans="1:7" x14ac:dyDescent="0.2">
      <c r="A97" s="13">
        <v>87</v>
      </c>
      <c r="B97" s="14"/>
      <c r="C97" s="7"/>
      <c r="D97" s="7"/>
      <c r="E97" s="7"/>
      <c r="F97" s="9"/>
      <c r="G97" s="9"/>
    </row>
    <row r="98" spans="1:7" x14ac:dyDescent="0.2">
      <c r="A98" s="13">
        <v>88</v>
      </c>
      <c r="B98" s="14"/>
      <c r="C98" s="7"/>
      <c r="D98" s="7"/>
      <c r="E98" s="7"/>
      <c r="F98" s="9"/>
      <c r="G98" s="9"/>
    </row>
    <row r="99" spans="1:7" x14ac:dyDescent="0.2">
      <c r="A99" s="13">
        <v>89</v>
      </c>
      <c r="B99" s="14"/>
      <c r="C99" s="7"/>
      <c r="D99" s="7"/>
      <c r="E99" s="7"/>
      <c r="F99" s="9"/>
      <c r="G99" s="9"/>
    </row>
    <row r="100" spans="1:7" x14ac:dyDescent="0.2">
      <c r="A100" s="13">
        <v>90</v>
      </c>
      <c r="B100" s="14"/>
      <c r="C100" s="7"/>
      <c r="D100" s="7"/>
      <c r="E100" s="7"/>
      <c r="F100" s="9"/>
      <c r="G100" s="9"/>
    </row>
    <row r="101" spans="1:7" x14ac:dyDescent="0.2">
      <c r="A101" s="13">
        <v>91</v>
      </c>
      <c r="B101" s="14"/>
      <c r="C101" s="7"/>
      <c r="D101" s="7"/>
      <c r="E101" s="7"/>
      <c r="F101" s="9"/>
      <c r="G101" s="9"/>
    </row>
    <row r="102" spans="1:7" x14ac:dyDescent="0.2">
      <c r="A102" s="13">
        <v>92</v>
      </c>
      <c r="B102" s="14"/>
      <c r="C102" s="7"/>
      <c r="D102" s="7"/>
      <c r="E102" s="7"/>
      <c r="F102" s="9"/>
      <c r="G102" s="9"/>
    </row>
    <row r="103" spans="1:7" x14ac:dyDescent="0.2">
      <c r="A103" s="13">
        <v>93</v>
      </c>
      <c r="B103" s="14"/>
      <c r="C103" s="7"/>
      <c r="D103" s="7"/>
      <c r="E103" s="7"/>
      <c r="F103" s="9"/>
      <c r="G103" s="9"/>
    </row>
    <row r="104" spans="1:7" x14ac:dyDescent="0.2">
      <c r="A104" s="13">
        <v>94</v>
      </c>
      <c r="B104" s="14"/>
      <c r="C104" s="7"/>
      <c r="D104" s="7"/>
      <c r="E104" s="7"/>
      <c r="F104" s="9"/>
      <c r="G104" s="9"/>
    </row>
    <row r="105" spans="1:7" x14ac:dyDescent="0.2">
      <c r="A105" s="13">
        <v>95</v>
      </c>
      <c r="B105" s="14"/>
      <c r="C105" s="7"/>
      <c r="D105" s="7"/>
      <c r="E105" s="7"/>
      <c r="F105" s="9"/>
      <c r="G105" s="9"/>
    </row>
    <row r="106" spans="1:7" x14ac:dyDescent="0.2">
      <c r="A106" s="13">
        <v>96</v>
      </c>
      <c r="B106" s="14"/>
      <c r="C106" s="7"/>
      <c r="D106" s="7"/>
      <c r="E106" s="7"/>
      <c r="F106" s="9"/>
      <c r="G106" s="9"/>
    </row>
    <row r="107" spans="1:7" x14ac:dyDescent="0.2">
      <c r="A107" s="13">
        <v>97</v>
      </c>
      <c r="B107" s="14"/>
      <c r="C107" s="7"/>
      <c r="D107" s="7"/>
      <c r="E107" s="7"/>
      <c r="F107" s="9"/>
      <c r="G107" s="9"/>
    </row>
    <row r="108" spans="1:7" x14ac:dyDescent="0.2">
      <c r="A108" s="13">
        <v>98</v>
      </c>
      <c r="B108" s="14"/>
      <c r="C108" s="7"/>
      <c r="D108" s="7"/>
      <c r="E108" s="7"/>
      <c r="F108" s="9"/>
      <c r="G108" s="9"/>
    </row>
    <row r="109" spans="1:7" x14ac:dyDescent="0.2">
      <c r="A109" s="13">
        <v>99</v>
      </c>
      <c r="B109" s="14"/>
      <c r="C109" s="7"/>
      <c r="D109" s="7"/>
      <c r="E109" s="7"/>
      <c r="F109" s="9"/>
      <c r="G109" s="9"/>
    </row>
    <row r="110" spans="1:7" x14ac:dyDescent="0.2">
      <c r="A110" s="13">
        <v>100</v>
      </c>
      <c r="B110" s="14"/>
      <c r="C110" s="7"/>
      <c r="D110" s="7"/>
      <c r="E110" s="7"/>
      <c r="F110" s="9"/>
      <c r="G110" s="9"/>
    </row>
    <row r="111" spans="1:7" x14ac:dyDescent="0.2">
      <c r="A111" s="13">
        <v>101</v>
      </c>
      <c r="B111" s="14"/>
      <c r="C111" s="7"/>
      <c r="D111" s="7"/>
      <c r="E111" s="7"/>
      <c r="F111" s="9"/>
      <c r="G111" s="9"/>
    </row>
    <row r="112" spans="1:7" x14ac:dyDescent="0.2">
      <c r="A112" s="13">
        <v>102</v>
      </c>
      <c r="B112" s="14"/>
      <c r="C112" s="7"/>
      <c r="D112" s="7"/>
      <c r="E112" s="7"/>
      <c r="F112" s="9"/>
      <c r="G112" s="9"/>
    </row>
    <row r="113" spans="1:7" x14ac:dyDescent="0.2">
      <c r="A113" s="13">
        <v>103</v>
      </c>
      <c r="B113" s="14"/>
      <c r="C113" s="7"/>
      <c r="D113" s="7"/>
      <c r="E113" s="7"/>
      <c r="F113" s="9"/>
      <c r="G113" s="9"/>
    </row>
    <row r="114" spans="1:7" x14ac:dyDescent="0.2">
      <c r="A114" s="13">
        <v>104</v>
      </c>
      <c r="B114" s="14"/>
      <c r="C114" s="7"/>
      <c r="D114" s="7"/>
      <c r="E114" s="7"/>
      <c r="F114" s="9"/>
      <c r="G114" s="9"/>
    </row>
    <row r="115" spans="1:7" x14ac:dyDescent="0.2">
      <c r="A115" s="13">
        <v>105</v>
      </c>
      <c r="B115" s="14"/>
      <c r="C115" s="7"/>
      <c r="D115" s="7"/>
      <c r="E115" s="7"/>
      <c r="F115" s="9"/>
      <c r="G115" s="9"/>
    </row>
    <row r="116" spans="1:7" x14ac:dyDescent="0.2">
      <c r="A116" s="13">
        <v>106</v>
      </c>
      <c r="B116" s="14"/>
      <c r="C116" s="7"/>
      <c r="D116" s="7"/>
      <c r="E116" s="7"/>
      <c r="F116" s="9"/>
      <c r="G116" s="9"/>
    </row>
    <row r="117" spans="1:7" x14ac:dyDescent="0.2">
      <c r="A117" s="13">
        <v>107</v>
      </c>
      <c r="B117" s="14"/>
      <c r="C117" s="7"/>
      <c r="D117" s="7"/>
      <c r="E117" s="7"/>
      <c r="F117" s="9"/>
      <c r="G117" s="9"/>
    </row>
    <row r="118" spans="1:7" x14ac:dyDescent="0.2">
      <c r="A118" s="13">
        <v>108</v>
      </c>
      <c r="B118" s="14"/>
      <c r="C118" s="7"/>
      <c r="D118" s="7"/>
      <c r="E118" s="7"/>
      <c r="F118" s="9"/>
      <c r="G118" s="9"/>
    </row>
    <row r="119" spans="1:7" x14ac:dyDescent="0.2">
      <c r="A119" s="13">
        <v>109</v>
      </c>
      <c r="B119" s="14"/>
      <c r="C119" s="7"/>
      <c r="D119" s="7"/>
      <c r="E119" s="7"/>
      <c r="F119" s="9"/>
      <c r="G119" s="9"/>
    </row>
    <row r="120" spans="1:7" x14ac:dyDescent="0.2">
      <c r="A120" s="13">
        <v>110</v>
      </c>
      <c r="B120" s="14"/>
      <c r="C120" s="7"/>
      <c r="D120" s="7"/>
      <c r="E120" s="7"/>
      <c r="F120" s="9"/>
      <c r="G120" s="9"/>
    </row>
    <row r="121" spans="1:7" x14ac:dyDescent="0.2">
      <c r="A121" s="13">
        <v>111</v>
      </c>
      <c r="B121" s="14"/>
      <c r="C121" s="7"/>
      <c r="D121" s="7"/>
      <c r="E121" s="7"/>
      <c r="F121" s="9"/>
      <c r="G121" s="9"/>
    </row>
    <row r="122" spans="1:7" x14ac:dyDescent="0.2">
      <c r="A122" s="13">
        <v>112</v>
      </c>
      <c r="B122" s="14"/>
      <c r="C122" s="7"/>
      <c r="D122" s="7"/>
      <c r="E122" s="7"/>
      <c r="F122" s="9"/>
      <c r="G122" s="9"/>
    </row>
    <row r="123" spans="1:7" x14ac:dyDescent="0.2">
      <c r="A123" s="13">
        <v>113</v>
      </c>
      <c r="B123" s="14"/>
      <c r="C123" s="7"/>
      <c r="D123" s="7"/>
      <c r="E123" s="7"/>
      <c r="F123" s="9"/>
      <c r="G123" s="9"/>
    </row>
    <row r="124" spans="1:7" x14ac:dyDescent="0.2">
      <c r="A124" s="13">
        <v>114</v>
      </c>
      <c r="B124" s="14"/>
      <c r="C124" s="7"/>
      <c r="D124" s="7"/>
      <c r="E124" s="7"/>
      <c r="F124" s="9"/>
      <c r="G124" s="9"/>
    </row>
    <row r="125" spans="1:7" x14ac:dyDescent="0.2">
      <c r="A125" s="13">
        <v>115</v>
      </c>
      <c r="B125" s="14"/>
      <c r="C125" s="7"/>
      <c r="D125" s="7"/>
      <c r="E125" s="7"/>
      <c r="F125" s="9"/>
      <c r="G125" s="9"/>
    </row>
    <row r="126" spans="1:7" x14ac:dyDescent="0.2">
      <c r="A126" s="13">
        <v>116</v>
      </c>
      <c r="B126" s="14"/>
      <c r="C126" s="7"/>
      <c r="D126" s="7"/>
      <c r="E126" s="7"/>
      <c r="F126" s="9"/>
      <c r="G126" s="9"/>
    </row>
    <row r="127" spans="1:7" x14ac:dyDescent="0.2">
      <c r="A127" s="13">
        <v>117</v>
      </c>
      <c r="B127" s="14"/>
      <c r="C127" s="7"/>
      <c r="D127" s="7"/>
      <c r="E127" s="7"/>
      <c r="F127" s="9"/>
      <c r="G127" s="9"/>
    </row>
    <row r="128" spans="1:7" x14ac:dyDescent="0.2">
      <c r="A128" s="13">
        <v>118</v>
      </c>
      <c r="B128" s="14"/>
      <c r="C128" s="7"/>
      <c r="D128" s="7"/>
      <c r="E128" s="7"/>
      <c r="F128" s="9"/>
      <c r="G128" s="9"/>
    </row>
    <row r="129" spans="1:7" x14ac:dyDescent="0.2">
      <c r="A129" s="13">
        <v>119</v>
      </c>
      <c r="B129" s="14"/>
      <c r="C129" s="7"/>
      <c r="D129" s="7"/>
      <c r="E129" s="7"/>
      <c r="F129" s="9"/>
      <c r="G129" s="9"/>
    </row>
    <row r="130" spans="1:7" x14ac:dyDescent="0.2">
      <c r="A130" s="13">
        <v>120</v>
      </c>
      <c r="B130" s="14"/>
      <c r="C130" s="7"/>
      <c r="D130" s="7"/>
      <c r="E130" s="7"/>
      <c r="F130" s="9"/>
      <c r="G130" s="9"/>
    </row>
    <row r="131" spans="1:7" x14ac:dyDescent="0.2">
      <c r="A131" s="13">
        <v>121</v>
      </c>
      <c r="B131" s="14"/>
      <c r="C131" s="7"/>
      <c r="D131" s="7"/>
      <c r="E131" s="7"/>
      <c r="F131" s="9"/>
      <c r="G131" s="9"/>
    </row>
    <row r="132" spans="1:7" x14ac:dyDescent="0.2">
      <c r="A132" s="13">
        <v>122</v>
      </c>
      <c r="B132" s="14"/>
      <c r="C132" s="7"/>
      <c r="D132" s="7"/>
      <c r="E132" s="7"/>
      <c r="F132" s="9"/>
      <c r="G132" s="9"/>
    </row>
    <row r="133" spans="1:7" x14ac:dyDescent="0.2">
      <c r="A133" s="13">
        <v>123</v>
      </c>
      <c r="B133" s="14"/>
      <c r="C133" s="7"/>
      <c r="D133" s="7"/>
      <c r="E133" s="7"/>
      <c r="F133" s="9"/>
      <c r="G133" s="9"/>
    </row>
    <row r="134" spans="1:7" x14ac:dyDescent="0.2">
      <c r="A134" s="13">
        <v>124</v>
      </c>
      <c r="B134" s="14"/>
      <c r="C134" s="7"/>
      <c r="D134" s="7"/>
      <c r="E134" s="7"/>
      <c r="F134" s="9"/>
      <c r="G134" s="9"/>
    </row>
    <row r="135" spans="1:7" x14ac:dyDescent="0.2">
      <c r="A135" s="13">
        <v>125</v>
      </c>
      <c r="B135" s="14"/>
      <c r="C135" s="7"/>
      <c r="D135" s="7"/>
      <c r="E135" s="7"/>
      <c r="F135" s="9"/>
      <c r="G135" s="9"/>
    </row>
    <row r="136" spans="1:7" x14ac:dyDescent="0.2">
      <c r="A136" s="13">
        <v>126</v>
      </c>
      <c r="B136" s="14"/>
      <c r="C136" s="7"/>
      <c r="D136" s="7"/>
      <c r="E136" s="7"/>
      <c r="F136" s="9"/>
      <c r="G136" s="9"/>
    </row>
    <row r="137" spans="1:7" x14ac:dyDescent="0.2">
      <c r="A137" s="13">
        <v>127</v>
      </c>
      <c r="B137" s="14"/>
      <c r="C137" s="7"/>
      <c r="D137" s="7"/>
      <c r="E137" s="7"/>
      <c r="F137" s="9"/>
      <c r="G137" s="9"/>
    </row>
    <row r="138" spans="1:7" x14ac:dyDescent="0.2">
      <c r="A138" s="13">
        <v>128</v>
      </c>
      <c r="B138" s="14"/>
      <c r="C138" s="7"/>
      <c r="D138" s="7"/>
      <c r="E138" s="7"/>
      <c r="F138" s="9"/>
      <c r="G138" s="9"/>
    </row>
    <row r="139" spans="1:7" x14ac:dyDescent="0.2">
      <c r="A139" s="13">
        <v>129</v>
      </c>
      <c r="B139" s="14"/>
      <c r="C139" s="7"/>
      <c r="D139" s="7"/>
      <c r="E139" s="7"/>
      <c r="F139" s="9"/>
      <c r="G139" s="9"/>
    </row>
    <row r="140" spans="1:7" x14ac:dyDescent="0.2">
      <c r="A140" s="13">
        <v>130</v>
      </c>
      <c r="B140" s="14"/>
      <c r="C140" s="7"/>
      <c r="D140" s="7"/>
      <c r="E140" s="7"/>
      <c r="F140" s="9"/>
      <c r="G140" s="9"/>
    </row>
    <row r="141" spans="1:7" x14ac:dyDescent="0.2">
      <c r="A141" s="13">
        <v>131</v>
      </c>
      <c r="B141" s="14"/>
      <c r="C141" s="7"/>
      <c r="D141" s="7"/>
      <c r="E141" s="7"/>
      <c r="F141" s="9"/>
      <c r="G141" s="9"/>
    </row>
    <row r="142" spans="1:7" x14ac:dyDescent="0.2">
      <c r="A142" s="13">
        <v>132</v>
      </c>
      <c r="B142" s="14"/>
      <c r="C142" s="7"/>
      <c r="D142" s="7"/>
      <c r="E142" s="7"/>
      <c r="F142" s="9"/>
      <c r="G142" s="9"/>
    </row>
    <row r="143" spans="1:7" x14ac:dyDescent="0.2">
      <c r="A143" s="13">
        <v>133</v>
      </c>
      <c r="B143" s="14"/>
      <c r="C143" s="7"/>
      <c r="D143" s="7"/>
      <c r="E143" s="7"/>
      <c r="F143" s="9"/>
      <c r="G143" s="9"/>
    </row>
    <row r="144" spans="1:7" x14ac:dyDescent="0.2">
      <c r="A144" s="13">
        <v>134</v>
      </c>
      <c r="B144" s="14"/>
      <c r="C144" s="7"/>
      <c r="D144" s="7"/>
      <c r="E144" s="7"/>
      <c r="F144" s="9"/>
      <c r="G144" s="9"/>
    </row>
    <row r="145" spans="1:7" x14ac:dyDescent="0.2">
      <c r="A145" s="13">
        <v>135</v>
      </c>
      <c r="B145" s="14"/>
      <c r="C145" s="7"/>
      <c r="D145" s="7"/>
      <c r="E145" s="7"/>
      <c r="F145" s="9"/>
      <c r="G145" s="9"/>
    </row>
    <row r="146" spans="1:7" x14ac:dyDescent="0.2">
      <c r="A146" s="13">
        <v>136</v>
      </c>
      <c r="B146" s="14"/>
      <c r="C146" s="7"/>
      <c r="D146" s="7"/>
      <c r="E146" s="7"/>
      <c r="F146" s="9"/>
      <c r="G146" s="9"/>
    </row>
    <row r="147" spans="1:7" x14ac:dyDescent="0.2">
      <c r="A147" s="13">
        <v>137</v>
      </c>
      <c r="B147" s="14"/>
      <c r="C147" s="7"/>
      <c r="D147" s="7"/>
      <c r="E147" s="7"/>
      <c r="F147" s="9"/>
      <c r="G147" s="9"/>
    </row>
    <row r="148" spans="1:7" x14ac:dyDescent="0.2">
      <c r="A148" s="13">
        <v>138</v>
      </c>
      <c r="B148" s="14"/>
      <c r="C148" s="7"/>
      <c r="D148" s="7"/>
      <c r="E148" s="7"/>
      <c r="F148" s="9"/>
      <c r="G148" s="9"/>
    </row>
    <row r="149" spans="1:7" x14ac:dyDescent="0.2">
      <c r="A149" s="13">
        <v>139</v>
      </c>
      <c r="B149" s="14"/>
      <c r="C149" s="7"/>
      <c r="D149" s="7"/>
      <c r="E149" s="7"/>
      <c r="F149" s="9"/>
      <c r="G149" s="9"/>
    </row>
    <row r="150" spans="1:7" x14ac:dyDescent="0.2">
      <c r="A150" s="13">
        <v>140</v>
      </c>
      <c r="B150" s="14"/>
      <c r="C150" s="7"/>
      <c r="D150" s="7"/>
      <c r="E150" s="7"/>
      <c r="F150" s="9"/>
      <c r="G150" s="9"/>
    </row>
    <row r="151" spans="1:7" x14ac:dyDescent="0.2">
      <c r="A151" s="13">
        <v>141</v>
      </c>
      <c r="B151" s="14"/>
      <c r="C151" s="7"/>
      <c r="D151" s="7"/>
      <c r="E151" s="7"/>
      <c r="F151" s="9"/>
      <c r="G151" s="9"/>
    </row>
    <row r="152" spans="1:7" x14ac:dyDescent="0.2">
      <c r="A152" s="13">
        <v>142</v>
      </c>
      <c r="B152" s="14"/>
      <c r="C152" s="7"/>
      <c r="D152" s="7"/>
      <c r="E152" s="7"/>
      <c r="F152" s="9"/>
      <c r="G152" s="9"/>
    </row>
    <row r="153" spans="1:7" x14ac:dyDescent="0.2">
      <c r="A153" s="13">
        <v>143</v>
      </c>
      <c r="B153" s="14"/>
      <c r="C153" s="7"/>
      <c r="D153" s="7"/>
      <c r="E153" s="7"/>
      <c r="F153" s="9"/>
      <c r="G153" s="9"/>
    </row>
    <row r="154" spans="1:7" x14ac:dyDescent="0.2">
      <c r="A154" s="13">
        <v>144</v>
      </c>
      <c r="B154" s="14"/>
      <c r="C154" s="7"/>
      <c r="D154" s="7"/>
      <c r="E154" s="7"/>
      <c r="F154" s="9"/>
      <c r="G154" s="9"/>
    </row>
    <row r="155" spans="1:7" x14ac:dyDescent="0.2">
      <c r="A155" s="13">
        <v>145</v>
      </c>
      <c r="B155" s="14"/>
      <c r="C155" s="7"/>
      <c r="D155" s="7"/>
      <c r="E155" s="7"/>
      <c r="F155" s="9"/>
      <c r="G155" s="9"/>
    </row>
    <row r="156" spans="1:7" x14ac:dyDescent="0.2">
      <c r="A156" s="13">
        <v>146</v>
      </c>
      <c r="B156" s="14"/>
      <c r="C156" s="7"/>
      <c r="D156" s="7"/>
      <c r="E156" s="7"/>
      <c r="F156" s="9"/>
      <c r="G156" s="9"/>
    </row>
    <row r="157" spans="1:7" x14ac:dyDescent="0.2">
      <c r="A157" s="13">
        <v>147</v>
      </c>
      <c r="B157" s="14"/>
      <c r="C157" s="7"/>
      <c r="D157" s="7"/>
      <c r="E157" s="7"/>
      <c r="F157" s="9"/>
      <c r="G157" s="9"/>
    </row>
    <row r="158" spans="1:7" x14ac:dyDescent="0.2">
      <c r="A158" s="13">
        <v>148</v>
      </c>
      <c r="B158" s="14"/>
      <c r="C158" s="7"/>
      <c r="D158" s="7"/>
      <c r="E158" s="7"/>
      <c r="F158" s="9"/>
      <c r="G158" s="9"/>
    </row>
    <row r="159" spans="1:7" x14ac:dyDescent="0.2">
      <c r="A159" s="13">
        <v>149</v>
      </c>
      <c r="B159" s="14"/>
      <c r="C159" s="7"/>
      <c r="D159" s="7"/>
      <c r="E159" s="7"/>
      <c r="F159" s="9"/>
      <c r="G159" s="9"/>
    </row>
    <row r="160" spans="1:7" x14ac:dyDescent="0.2">
      <c r="A160" s="13">
        <v>150</v>
      </c>
      <c r="B160" s="14"/>
      <c r="C160" s="7"/>
      <c r="D160" s="7"/>
      <c r="E160" s="7"/>
      <c r="F160" s="9"/>
      <c r="G160" s="9"/>
    </row>
  </sheetData>
  <mergeCells count="158">
    <mergeCell ref="F160:G160"/>
    <mergeCell ref="I9:L9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A5:G5"/>
    <mergeCell ref="A6:B6"/>
    <mergeCell ref="E6:G6"/>
    <mergeCell ref="A7:B7"/>
    <mergeCell ref="E7:G7"/>
    <mergeCell ref="A9:G9"/>
  </mergeCells>
  <dataValidations count="3">
    <dataValidation type="list" allowBlank="1" showInputMessage="1" showErrorMessage="1" errorTitle="Kategori" error="Sağdaki kategori listesinden seçin ya da listeye yeni kategori ekleyin." sqref="D11:D160" xr:uid="{D19B80DA-C2C6-4A5F-A411-7AF0859AE85F}">
      <formula1>$J$11:$J$25</formula1>
    </dataValidation>
    <dataValidation type="decimal" operator="greaterThanOrEqual" allowBlank="1" showInputMessage="1" showErrorMessage="1" error="Sıfır ya da pozitif bir sayı yazın." sqref="E11:E160" xr:uid="{D9A2B0D6-8FE7-4EAD-940F-1AFE3854D7CE}">
      <formula1>0</formula1>
    </dataValidation>
    <dataValidation type="decimal" operator="greaterThanOrEqual" allowBlank="1" showInputMessage="1" showErrorMessage="1" error="Sıfır ya da pozitif bir sayı yazın." sqref="F11:G160" xr:uid="{D07F3A05-3857-401E-AE93-D79DDAB3BDD1}">
      <formula1>0</formula1>
    </dataValidation>
  </dataValidations>
  <pageMargins left="0.39370078740157477" right="0.39370078740157477" top="0.4724409448818897" bottom="0.4724409448818897" header="0.3" footer="0.3"/>
  <pageSetup paperSize="9" scale="54" fitToHeight="0" orientation="portrait" r:id="rId1"/>
  <headerFooter>
    <oddFooter>&amp;Ceproses.com/araclar/pareto-analizi-excel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78334-C6AE-4F8B-A243-435B585A8E20}">
  <sheetPr>
    <pageSetUpPr fitToPage="1"/>
  </sheetPr>
  <dimension ref="A1:AZ28"/>
  <sheetViews>
    <sheetView showGridLines="0" workbookViewId="0">
      <selection activeCell="A6" sqref="A6:D6"/>
    </sheetView>
  </sheetViews>
  <sheetFormatPr defaultRowHeight="12.75" x14ac:dyDescent="0.2"/>
  <cols>
    <col min="1" max="1" width="6.7109375" style="1" customWidth="1"/>
    <col min="2" max="2" width="11.7109375" style="1" customWidth="1"/>
    <col min="3" max="3" width="40.7109375" style="1" customWidth="1"/>
    <col min="4" max="4" width="22.7109375" style="1" customWidth="1"/>
    <col min="5" max="5" width="10.7109375" style="1" customWidth="1"/>
    <col min="6" max="6" width="12.7109375" style="1" customWidth="1"/>
    <col min="7" max="7" width="14.7109375" style="1" customWidth="1"/>
    <col min="8" max="8" width="3.7109375" style="1" customWidth="1"/>
    <col min="9" max="9" width="5.7109375" style="1" customWidth="1"/>
    <col min="10" max="10" width="24.7109375" style="1" customWidth="1"/>
    <col min="11" max="12" width="11.7109375" style="1" customWidth="1"/>
    <col min="13" max="16384" width="9.140625" style="1"/>
  </cols>
  <sheetData>
    <row r="1" spans="1:52" ht="30" customHeight="1" x14ac:dyDescent="0.3">
      <c r="C1" s="2" t="s">
        <v>29</v>
      </c>
      <c r="AZ1"/>
    </row>
    <row r="2" spans="1:52" ht="21.95" customHeight="1" x14ac:dyDescent="0.2">
      <c r="C2" s="3" t="s">
        <v>30</v>
      </c>
    </row>
    <row r="3" spans="1:52" ht="18" customHeight="1" x14ac:dyDescent="0.2">
      <c r="C3" s="4" t="s">
        <v>2</v>
      </c>
    </row>
    <row r="5" spans="1:52" ht="20.100000000000001" customHeight="1" x14ac:dyDescent="0.2">
      <c r="A5" s="5" t="s">
        <v>31</v>
      </c>
      <c r="B5" s="5"/>
      <c r="C5" s="5"/>
      <c r="D5" s="5"/>
      <c r="E5" s="5"/>
      <c r="F5" s="5"/>
      <c r="G5" s="5"/>
    </row>
    <row r="6" spans="1:52" x14ac:dyDescent="0.2">
      <c r="A6" s="6" t="s">
        <v>32</v>
      </c>
      <c r="B6" s="6"/>
      <c r="C6" s="6"/>
      <c r="D6" s="6"/>
      <c r="E6" s="7" t="s">
        <v>15</v>
      </c>
      <c r="F6" s="10" t="s">
        <v>33</v>
      </c>
      <c r="N6" s="10" t="s">
        <v>46</v>
      </c>
      <c r="O6" s="10"/>
      <c r="P6" s="10"/>
      <c r="Q6" s="10"/>
      <c r="R6" s="10"/>
      <c r="S6" s="10"/>
      <c r="T6" s="10"/>
      <c r="U6" s="10"/>
      <c r="V6" s="10"/>
      <c r="W6" s="10"/>
    </row>
    <row r="7" spans="1:52" ht="26.1" customHeight="1" x14ac:dyDescent="0.2">
      <c r="A7" s="11" t="s">
        <v>34</v>
      </c>
      <c r="B7" s="12" t="s">
        <v>14</v>
      </c>
      <c r="C7" s="12"/>
      <c r="D7" s="11" t="str">
        <f>IF($E$6="Etki","Etki ("&amp;IF('Veri girişi'!$E$7="","TL",'Veri girişi'!$E$7)&amp;")","Adet")</f>
        <v>Adet</v>
      </c>
      <c r="E7" s="11" t="s">
        <v>35</v>
      </c>
      <c r="F7" s="11" t="s">
        <v>36</v>
      </c>
      <c r="G7" s="11" t="s">
        <v>37</v>
      </c>
      <c r="N7" s="10" t="s">
        <v>14</v>
      </c>
      <c r="O7" s="10" t="s">
        <v>15</v>
      </c>
      <c r="P7" s="10" t="s">
        <v>38</v>
      </c>
      <c r="Q7" s="10" t="s">
        <v>39</v>
      </c>
      <c r="R7" s="10" t="s">
        <v>40</v>
      </c>
      <c r="S7" s="10" t="s">
        <v>41</v>
      </c>
      <c r="T7" s="10" t="s">
        <v>42</v>
      </c>
      <c r="U7" s="10" t="s">
        <v>43</v>
      </c>
      <c r="V7" s="10" t="s">
        <v>44</v>
      </c>
      <c r="W7" s="10" t="s">
        <v>45</v>
      </c>
    </row>
    <row r="8" spans="1:52" x14ac:dyDescent="0.2">
      <c r="A8" s="17" t="str">
        <f>IF($S8="","",1)</f>
        <v/>
      </c>
      <c r="B8" s="16" t="str">
        <f>IF($S8="","",INDEX($N$8:$N$22,$S8))</f>
        <v/>
      </c>
      <c r="C8" s="16"/>
      <c r="D8" s="15" t="str">
        <f>IF($S8="","",INDEX($Q$8:$Q$22,$S8))</f>
        <v/>
      </c>
      <c r="E8" s="18" t="str">
        <f>IF($S8="","",D8/$D$23)</f>
        <v/>
      </c>
      <c r="F8" s="18" t="str">
        <f>IF($S8="","",SUM($D$8:D8)/$D$23)</f>
        <v/>
      </c>
      <c r="G8" s="17" t="str">
        <f>IF($S8="","",IF(F8-E8&lt;0.8-0.000000001,"Evet",""))</f>
        <v/>
      </c>
      <c r="N8" s="10" t="str">
        <f>IF(TRIM('Veri girişi'!$J$11)="","",TRIM('Veri girişi'!$J$11))</f>
        <v>Arıza</v>
      </c>
      <c r="O8" s="10">
        <f>IF(N8="","",SUMIF('Veri girişi'!$D$11:$D$160,N8,'Veri girişi'!$E$11:$E$160))</f>
        <v>0</v>
      </c>
      <c r="P8" s="10">
        <f>IF(N8="","",SUMIF('Veri girişi'!$D$11:$D$160,N8,'Veri girişi'!$F$11:$F$160))</f>
        <v>0</v>
      </c>
      <c r="Q8" s="10">
        <f>IF(N8="","",IF($E$6="Etki",P8,O8))</f>
        <v>0</v>
      </c>
      <c r="R8" s="10" t="str">
        <f>IF(Q8="","",IF(Q8&gt;0,Q8+15/10^7,""))</f>
        <v/>
      </c>
      <c r="S8" s="10" t="str">
        <f>IFERROR(MATCH(LARGE($R$8:$R$22,1),$R$8:$R$22,0),"")</f>
        <v/>
      </c>
      <c r="T8" s="10" t="str">
        <f>IF($S8="","",IF(G8="Evet",D8,0))</f>
        <v/>
      </c>
      <c r="U8" s="10" t="str">
        <f>IF($S8="","",IF(G8="Evet",0,D8))</f>
        <v/>
      </c>
      <c r="V8" s="10" t="str">
        <f>IF($S8="","",0.8)</f>
        <v/>
      </c>
      <c r="W8" s="10" t="str">
        <f>IF(G8="Evet",IF(""="",B8,""&amp;", "&amp;B8),"")</f>
        <v/>
      </c>
    </row>
    <row r="9" spans="1:52" x14ac:dyDescent="0.2">
      <c r="A9" s="17" t="str">
        <f>IF($S9="","",2)</f>
        <v/>
      </c>
      <c r="B9" s="16" t="str">
        <f>IF($S9="","",INDEX($N$8:$N$22,$S9))</f>
        <v/>
      </c>
      <c r="C9" s="16"/>
      <c r="D9" s="15" t="str">
        <f>IF($S9="","",INDEX($Q$8:$Q$22,$S9))</f>
        <v/>
      </c>
      <c r="E9" s="18" t="str">
        <f>IF($S9="","",D9/$D$23)</f>
        <v/>
      </c>
      <c r="F9" s="18" t="str">
        <f>IF($S9="","",SUM($D$8:D9)/$D$23)</f>
        <v/>
      </c>
      <c r="G9" s="17" t="str">
        <f>IF($S9="","",IF(F9-E9&lt;0.8-0.000000001,"Evet",""))</f>
        <v/>
      </c>
      <c r="N9" s="10" t="str">
        <f>IF(TRIM('Veri girişi'!$J$12)="","",TRIM('Veri girişi'!$J$12))</f>
        <v>Malzeme bekleme</v>
      </c>
      <c r="O9" s="10">
        <f>IF(N9="","",SUMIF('Veri girişi'!$D$11:$D$160,N9,'Veri girişi'!$E$11:$E$160))</f>
        <v>0</v>
      </c>
      <c r="P9" s="10">
        <f>IF(N9="","",SUMIF('Veri girişi'!$D$11:$D$160,N9,'Veri girişi'!$F$11:$F$160))</f>
        <v>0</v>
      </c>
      <c r="Q9" s="10">
        <f>IF(N9="","",IF($E$6="Etki",P9,O9))</f>
        <v>0</v>
      </c>
      <c r="R9" s="10" t="str">
        <f>IF(Q9="","",IF(Q9&gt;0,Q9+14/10^7,""))</f>
        <v/>
      </c>
      <c r="S9" s="10" t="str">
        <f>IFERROR(MATCH(LARGE($R$8:$R$22,2),$R$8:$R$22,0),"")</f>
        <v/>
      </c>
      <c r="T9" s="10" t="str">
        <f>IF($S9="","",IF(G9="Evet",D9,0))</f>
        <v/>
      </c>
      <c r="U9" s="10" t="str">
        <f>IF($S9="","",IF(G9="Evet",0,D9))</f>
        <v/>
      </c>
      <c r="V9" s="10" t="str">
        <f>IF($S9="","",0.8)</f>
        <v/>
      </c>
      <c r="W9" s="10" t="str">
        <f>IF(G9="Evet",IF(W8="",B9,W8&amp;", "&amp;B9),W8)</f>
        <v/>
      </c>
    </row>
    <row r="10" spans="1:52" x14ac:dyDescent="0.2">
      <c r="A10" s="17" t="str">
        <f>IF($S10="","",3)</f>
        <v/>
      </c>
      <c r="B10" s="16" t="str">
        <f>IF($S10="","",INDEX($N$8:$N$22,$S10))</f>
        <v/>
      </c>
      <c r="C10" s="16"/>
      <c r="D10" s="15" t="str">
        <f>IF($S10="","",INDEX($Q$8:$Q$22,$S10))</f>
        <v/>
      </c>
      <c r="E10" s="18" t="str">
        <f>IF($S10="","",D10/$D$23)</f>
        <v/>
      </c>
      <c r="F10" s="18" t="str">
        <f>IF($S10="","",SUM($D$8:D10)/$D$23)</f>
        <v/>
      </c>
      <c r="G10" s="17" t="str">
        <f>IF($S10="","",IF(F10-E10&lt;0.8-0.000000001,"Evet",""))</f>
        <v/>
      </c>
      <c r="N10" s="10" t="str">
        <f>IF(TRIM('Veri girişi'!$J$13)="","",TRIM('Veri girişi'!$J$13))</f>
        <v>Ayar / tip değişimi</v>
      </c>
      <c r="O10" s="10">
        <f>IF(N10="","",SUMIF('Veri girişi'!$D$11:$D$160,N10,'Veri girişi'!$E$11:$E$160))</f>
        <v>0</v>
      </c>
      <c r="P10" s="10">
        <f>IF(N10="","",SUMIF('Veri girişi'!$D$11:$D$160,N10,'Veri girişi'!$F$11:$F$160))</f>
        <v>0</v>
      </c>
      <c r="Q10" s="10">
        <f>IF(N10="","",IF($E$6="Etki",P10,O10))</f>
        <v>0</v>
      </c>
      <c r="R10" s="10" t="str">
        <f>IF(Q10="","",IF(Q10&gt;0,Q10+13/10^7,""))</f>
        <v/>
      </c>
      <c r="S10" s="10" t="str">
        <f>IFERROR(MATCH(LARGE($R$8:$R$22,3),$R$8:$R$22,0),"")</f>
        <v/>
      </c>
      <c r="T10" s="10" t="str">
        <f>IF($S10="","",IF(G10="Evet",D10,0))</f>
        <v/>
      </c>
      <c r="U10" s="10" t="str">
        <f>IF($S10="","",IF(G10="Evet",0,D10))</f>
        <v/>
      </c>
      <c r="V10" s="10" t="str">
        <f>IF($S10="","",0.8)</f>
        <v/>
      </c>
      <c r="W10" s="10" t="str">
        <f>IF(G10="Evet",IF(W9="",B10,W9&amp;", "&amp;B10),W9)</f>
        <v/>
      </c>
    </row>
    <row r="11" spans="1:52" x14ac:dyDescent="0.2">
      <c r="A11" s="17" t="str">
        <f>IF($S11="","",4)</f>
        <v/>
      </c>
      <c r="B11" s="16" t="str">
        <f>IF($S11="","",INDEX($N$8:$N$22,$S11))</f>
        <v/>
      </c>
      <c r="C11" s="16"/>
      <c r="D11" s="15" t="str">
        <f>IF($S11="","",INDEX($Q$8:$Q$22,$S11))</f>
        <v/>
      </c>
      <c r="E11" s="18" t="str">
        <f>IF($S11="","",D11/$D$23)</f>
        <v/>
      </c>
      <c r="F11" s="18" t="str">
        <f>IF($S11="","",SUM($D$8:D11)/$D$23)</f>
        <v/>
      </c>
      <c r="G11" s="17" t="str">
        <f>IF($S11="","",IF(F11-E11&lt;0.8-0.000000001,"Evet",""))</f>
        <v/>
      </c>
      <c r="N11" s="10" t="str">
        <f>IF(TRIM('Veri girişi'!$J$14)="","",TRIM('Veri girişi'!$J$14))</f>
        <v>Kalite / fire</v>
      </c>
      <c r="O11" s="10">
        <f>IF(N11="","",SUMIF('Veri girişi'!$D$11:$D$160,N11,'Veri girişi'!$E$11:$E$160))</f>
        <v>0</v>
      </c>
      <c r="P11" s="10">
        <f>IF(N11="","",SUMIF('Veri girişi'!$D$11:$D$160,N11,'Veri girişi'!$F$11:$F$160))</f>
        <v>0</v>
      </c>
      <c r="Q11" s="10">
        <f>IF(N11="","",IF($E$6="Etki",P11,O11))</f>
        <v>0</v>
      </c>
      <c r="R11" s="10" t="str">
        <f>IF(Q11="","",IF(Q11&gt;0,Q11+12/10^7,""))</f>
        <v/>
      </c>
      <c r="S11" s="10" t="str">
        <f>IFERROR(MATCH(LARGE($R$8:$R$22,4),$R$8:$R$22,0),"")</f>
        <v/>
      </c>
      <c r="T11" s="10" t="str">
        <f>IF($S11="","",IF(G11="Evet",D11,0))</f>
        <v/>
      </c>
      <c r="U11" s="10" t="str">
        <f>IF($S11="","",IF(G11="Evet",0,D11))</f>
        <v/>
      </c>
      <c r="V11" s="10" t="str">
        <f>IF($S11="","",0.8)</f>
        <v/>
      </c>
      <c r="W11" s="10" t="str">
        <f>IF(G11="Evet",IF(W10="",B11,W10&amp;", "&amp;B11),W10)</f>
        <v/>
      </c>
    </row>
    <row r="12" spans="1:52" x14ac:dyDescent="0.2">
      <c r="A12" s="17" t="str">
        <f>IF($S12="","",5)</f>
        <v/>
      </c>
      <c r="B12" s="16" t="str">
        <f>IF($S12="","",INDEX($N$8:$N$22,$S12))</f>
        <v/>
      </c>
      <c r="C12" s="16"/>
      <c r="D12" s="15" t="str">
        <f>IF($S12="","",INDEX($Q$8:$Q$22,$S12))</f>
        <v/>
      </c>
      <c r="E12" s="18" t="str">
        <f>IF($S12="","",D12/$D$23)</f>
        <v/>
      </c>
      <c r="F12" s="18" t="str">
        <f>IF($S12="","",SUM($D$8:D12)/$D$23)</f>
        <v/>
      </c>
      <c r="G12" s="17" t="str">
        <f>IF($S12="","",IF(F12-E12&lt;0.8-0.000000001,"Evet",""))</f>
        <v/>
      </c>
      <c r="N12" s="10" t="str">
        <f>IF(TRIM('Veri girişi'!$J$15)="","",TRIM('Veri girişi'!$J$15))</f>
        <v>Personel</v>
      </c>
      <c r="O12" s="10">
        <f>IF(N12="","",SUMIF('Veri girişi'!$D$11:$D$160,N12,'Veri girişi'!$E$11:$E$160))</f>
        <v>0</v>
      </c>
      <c r="P12" s="10">
        <f>IF(N12="","",SUMIF('Veri girişi'!$D$11:$D$160,N12,'Veri girişi'!$F$11:$F$160))</f>
        <v>0</v>
      </c>
      <c r="Q12" s="10">
        <f>IF(N12="","",IF($E$6="Etki",P12,O12))</f>
        <v>0</v>
      </c>
      <c r="R12" s="10" t="str">
        <f>IF(Q12="","",IF(Q12&gt;0,Q12+11/10^7,""))</f>
        <v/>
      </c>
      <c r="S12" s="10" t="str">
        <f>IFERROR(MATCH(LARGE($R$8:$R$22,5),$R$8:$R$22,0),"")</f>
        <v/>
      </c>
      <c r="T12" s="10" t="str">
        <f>IF($S12="","",IF(G12="Evet",D12,0))</f>
        <v/>
      </c>
      <c r="U12" s="10" t="str">
        <f>IF($S12="","",IF(G12="Evet",0,D12))</f>
        <v/>
      </c>
      <c r="V12" s="10" t="str">
        <f>IF($S12="","",0.8)</f>
        <v/>
      </c>
      <c r="W12" s="10" t="str">
        <f>IF(G12="Evet",IF(W11="",B12,W11&amp;", "&amp;B12),W11)</f>
        <v/>
      </c>
    </row>
    <row r="13" spans="1:52" x14ac:dyDescent="0.2">
      <c r="A13" s="17" t="str">
        <f>IF($S13="","",6)</f>
        <v/>
      </c>
      <c r="B13" s="16" t="str">
        <f>IF($S13="","",INDEX($N$8:$N$22,$S13))</f>
        <v/>
      </c>
      <c r="C13" s="16"/>
      <c r="D13" s="15" t="str">
        <f>IF($S13="","",INDEX($Q$8:$Q$22,$S13))</f>
        <v/>
      </c>
      <c r="E13" s="18" t="str">
        <f>IF($S13="","",D13/$D$23)</f>
        <v/>
      </c>
      <c r="F13" s="18" t="str">
        <f>IF($S13="","",SUM($D$8:D13)/$D$23)</f>
        <v/>
      </c>
      <c r="G13" s="17" t="str">
        <f>IF($S13="","",IF(F13-E13&lt;0.8-0.000000001,"Evet",""))</f>
        <v/>
      </c>
      <c r="N13" s="10" t="str">
        <f>IF(TRIM('Veri girişi'!$J$16)="","",TRIM('Veri girişi'!$J$16))</f>
        <v>Planlama</v>
      </c>
      <c r="O13" s="10">
        <f>IF(N13="","",SUMIF('Veri girişi'!$D$11:$D$160,N13,'Veri girişi'!$E$11:$E$160))</f>
        <v>0</v>
      </c>
      <c r="P13" s="10">
        <f>IF(N13="","",SUMIF('Veri girişi'!$D$11:$D$160,N13,'Veri girişi'!$F$11:$F$160))</f>
        <v>0</v>
      </c>
      <c r="Q13" s="10">
        <f>IF(N13="","",IF($E$6="Etki",P13,O13))</f>
        <v>0</v>
      </c>
      <c r="R13" s="10" t="str">
        <f>IF(Q13="","",IF(Q13&gt;0,Q13+10/10^7,""))</f>
        <v/>
      </c>
      <c r="S13" s="10" t="str">
        <f>IFERROR(MATCH(LARGE($R$8:$R$22,6),$R$8:$R$22,0),"")</f>
        <v/>
      </c>
      <c r="T13" s="10" t="str">
        <f>IF($S13="","",IF(G13="Evet",D13,0))</f>
        <v/>
      </c>
      <c r="U13" s="10" t="str">
        <f>IF($S13="","",IF(G13="Evet",0,D13))</f>
        <v/>
      </c>
      <c r="V13" s="10" t="str">
        <f>IF($S13="","",0.8)</f>
        <v/>
      </c>
      <c r="W13" s="10" t="str">
        <f>IF(G13="Evet",IF(W12="",B13,W12&amp;", "&amp;B13),W12)</f>
        <v/>
      </c>
    </row>
    <row r="14" spans="1:52" x14ac:dyDescent="0.2">
      <c r="A14" s="17" t="str">
        <f>IF($S14="","",7)</f>
        <v/>
      </c>
      <c r="B14" s="16" t="str">
        <f>IF($S14="","",INDEX($N$8:$N$22,$S14))</f>
        <v/>
      </c>
      <c r="C14" s="16"/>
      <c r="D14" s="15" t="str">
        <f>IF($S14="","",INDEX($Q$8:$Q$22,$S14))</f>
        <v/>
      </c>
      <c r="E14" s="18" t="str">
        <f>IF($S14="","",D14/$D$23)</f>
        <v/>
      </c>
      <c r="F14" s="18" t="str">
        <f>IF($S14="","",SUM($D$8:D14)/$D$23)</f>
        <v/>
      </c>
      <c r="G14" s="17" t="str">
        <f>IF($S14="","",IF(F14-E14&lt;0.8-0.000000001,"Evet",""))</f>
        <v/>
      </c>
      <c r="N14" s="10" t="str">
        <f>IF(TRIM('Veri girişi'!$J$17)="","",TRIM('Veri girişi'!$J$17))</f>
        <v/>
      </c>
      <c r="O14" s="10" t="str">
        <f>IF(N14="","",SUMIF('Veri girişi'!$D$11:$D$160,N14,'Veri girişi'!$E$11:$E$160))</f>
        <v/>
      </c>
      <c r="P14" s="10" t="str">
        <f>IF(N14="","",SUMIF('Veri girişi'!$D$11:$D$160,N14,'Veri girişi'!$F$11:$F$160))</f>
        <v/>
      </c>
      <c r="Q14" s="10" t="str">
        <f>IF(N14="","",IF($E$6="Etki",P14,O14))</f>
        <v/>
      </c>
      <c r="R14" s="10" t="str">
        <f>IF(Q14="","",IF(Q14&gt;0,Q14+9/10^7,""))</f>
        <v/>
      </c>
      <c r="S14" s="10" t="str">
        <f>IFERROR(MATCH(LARGE($R$8:$R$22,7),$R$8:$R$22,0),"")</f>
        <v/>
      </c>
      <c r="T14" s="10" t="str">
        <f>IF($S14="","",IF(G14="Evet",D14,0))</f>
        <v/>
      </c>
      <c r="U14" s="10" t="str">
        <f>IF($S14="","",IF(G14="Evet",0,D14))</f>
        <v/>
      </c>
      <c r="V14" s="10" t="str">
        <f>IF($S14="","",0.8)</f>
        <v/>
      </c>
      <c r="W14" s="10" t="str">
        <f>IF(G14="Evet",IF(W13="",B14,W13&amp;", "&amp;B14),W13)</f>
        <v/>
      </c>
    </row>
    <row r="15" spans="1:52" x14ac:dyDescent="0.2">
      <c r="A15" s="17" t="str">
        <f>IF($S15="","",8)</f>
        <v/>
      </c>
      <c r="B15" s="16" t="str">
        <f>IF($S15="","",INDEX($N$8:$N$22,$S15))</f>
        <v/>
      </c>
      <c r="C15" s="16"/>
      <c r="D15" s="15" t="str">
        <f>IF($S15="","",INDEX($Q$8:$Q$22,$S15))</f>
        <v/>
      </c>
      <c r="E15" s="18" t="str">
        <f>IF($S15="","",D15/$D$23)</f>
        <v/>
      </c>
      <c r="F15" s="18" t="str">
        <f>IF($S15="","",SUM($D$8:D15)/$D$23)</f>
        <v/>
      </c>
      <c r="G15" s="17" t="str">
        <f>IF($S15="","",IF(F15-E15&lt;0.8-0.000000001,"Evet",""))</f>
        <v/>
      </c>
      <c r="N15" s="10" t="str">
        <f>IF(TRIM('Veri girişi'!$J$18)="","",TRIM('Veri girişi'!$J$18))</f>
        <v/>
      </c>
      <c r="O15" s="10" t="str">
        <f>IF(N15="","",SUMIF('Veri girişi'!$D$11:$D$160,N15,'Veri girişi'!$E$11:$E$160))</f>
        <v/>
      </c>
      <c r="P15" s="10" t="str">
        <f>IF(N15="","",SUMIF('Veri girişi'!$D$11:$D$160,N15,'Veri girişi'!$F$11:$F$160))</f>
        <v/>
      </c>
      <c r="Q15" s="10" t="str">
        <f>IF(N15="","",IF($E$6="Etki",P15,O15))</f>
        <v/>
      </c>
      <c r="R15" s="10" t="str">
        <f>IF(Q15="","",IF(Q15&gt;0,Q15+8/10^7,""))</f>
        <v/>
      </c>
      <c r="S15" s="10" t="str">
        <f>IFERROR(MATCH(LARGE($R$8:$R$22,8),$R$8:$R$22,0),"")</f>
        <v/>
      </c>
      <c r="T15" s="10" t="str">
        <f>IF($S15="","",IF(G15="Evet",D15,0))</f>
        <v/>
      </c>
      <c r="U15" s="10" t="str">
        <f>IF($S15="","",IF(G15="Evet",0,D15))</f>
        <v/>
      </c>
      <c r="V15" s="10" t="str">
        <f>IF($S15="","",0.8)</f>
        <v/>
      </c>
      <c r="W15" s="10" t="str">
        <f>IF(G15="Evet",IF(W14="",B15,W14&amp;", "&amp;B15),W14)</f>
        <v/>
      </c>
    </row>
    <row r="16" spans="1:52" x14ac:dyDescent="0.2">
      <c r="A16" s="17" t="str">
        <f>IF($S16="","",9)</f>
        <v/>
      </c>
      <c r="B16" s="16" t="str">
        <f>IF($S16="","",INDEX($N$8:$N$22,$S16))</f>
        <v/>
      </c>
      <c r="C16" s="16"/>
      <c r="D16" s="15" t="str">
        <f>IF($S16="","",INDEX($Q$8:$Q$22,$S16))</f>
        <v/>
      </c>
      <c r="E16" s="18" t="str">
        <f>IF($S16="","",D16/$D$23)</f>
        <v/>
      </c>
      <c r="F16" s="18" t="str">
        <f>IF($S16="","",SUM($D$8:D16)/$D$23)</f>
        <v/>
      </c>
      <c r="G16" s="17" t="str">
        <f>IF($S16="","",IF(F16-E16&lt;0.8-0.000000001,"Evet",""))</f>
        <v/>
      </c>
      <c r="N16" s="10" t="str">
        <f>IF(TRIM('Veri girişi'!$J$19)="","",TRIM('Veri girişi'!$J$19))</f>
        <v/>
      </c>
      <c r="O16" s="10" t="str">
        <f>IF(N16="","",SUMIF('Veri girişi'!$D$11:$D$160,N16,'Veri girişi'!$E$11:$E$160))</f>
        <v/>
      </c>
      <c r="P16" s="10" t="str">
        <f>IF(N16="","",SUMIF('Veri girişi'!$D$11:$D$160,N16,'Veri girişi'!$F$11:$F$160))</f>
        <v/>
      </c>
      <c r="Q16" s="10" t="str">
        <f>IF(N16="","",IF($E$6="Etki",P16,O16))</f>
        <v/>
      </c>
      <c r="R16" s="10" t="str">
        <f>IF(Q16="","",IF(Q16&gt;0,Q16+7/10^7,""))</f>
        <v/>
      </c>
      <c r="S16" s="10" t="str">
        <f>IFERROR(MATCH(LARGE($R$8:$R$22,9),$R$8:$R$22,0),"")</f>
        <v/>
      </c>
      <c r="T16" s="10" t="str">
        <f>IF($S16="","",IF(G16="Evet",D16,0))</f>
        <v/>
      </c>
      <c r="U16" s="10" t="str">
        <f>IF($S16="","",IF(G16="Evet",0,D16))</f>
        <v/>
      </c>
      <c r="V16" s="10" t="str">
        <f>IF($S16="","",0.8)</f>
        <v/>
      </c>
      <c r="W16" s="10" t="str">
        <f>IF(G16="Evet",IF(W15="",B16,W15&amp;", "&amp;B16),W15)</f>
        <v/>
      </c>
    </row>
    <row r="17" spans="1:23" x14ac:dyDescent="0.2">
      <c r="A17" s="17" t="str">
        <f>IF($S17="","",10)</f>
        <v/>
      </c>
      <c r="B17" s="16" t="str">
        <f>IF($S17="","",INDEX($N$8:$N$22,$S17))</f>
        <v/>
      </c>
      <c r="C17" s="16"/>
      <c r="D17" s="15" t="str">
        <f>IF($S17="","",INDEX($Q$8:$Q$22,$S17))</f>
        <v/>
      </c>
      <c r="E17" s="18" t="str">
        <f>IF($S17="","",D17/$D$23)</f>
        <v/>
      </c>
      <c r="F17" s="18" t="str">
        <f>IF($S17="","",SUM($D$8:D17)/$D$23)</f>
        <v/>
      </c>
      <c r="G17" s="17" t="str">
        <f>IF($S17="","",IF(F17-E17&lt;0.8-0.000000001,"Evet",""))</f>
        <v/>
      </c>
      <c r="N17" s="10" t="str">
        <f>IF(TRIM('Veri girişi'!$J$20)="","",TRIM('Veri girişi'!$J$20))</f>
        <v/>
      </c>
      <c r="O17" s="10" t="str">
        <f>IF(N17="","",SUMIF('Veri girişi'!$D$11:$D$160,N17,'Veri girişi'!$E$11:$E$160))</f>
        <v/>
      </c>
      <c r="P17" s="10" t="str">
        <f>IF(N17="","",SUMIF('Veri girişi'!$D$11:$D$160,N17,'Veri girişi'!$F$11:$F$160))</f>
        <v/>
      </c>
      <c r="Q17" s="10" t="str">
        <f>IF(N17="","",IF($E$6="Etki",P17,O17))</f>
        <v/>
      </c>
      <c r="R17" s="10" t="str">
        <f>IF(Q17="","",IF(Q17&gt;0,Q17+6/10^7,""))</f>
        <v/>
      </c>
      <c r="S17" s="10" t="str">
        <f>IFERROR(MATCH(LARGE($R$8:$R$22,10),$R$8:$R$22,0),"")</f>
        <v/>
      </c>
      <c r="T17" s="10" t="str">
        <f>IF($S17="","",IF(G17="Evet",D17,0))</f>
        <v/>
      </c>
      <c r="U17" s="10" t="str">
        <f>IF($S17="","",IF(G17="Evet",0,D17))</f>
        <v/>
      </c>
      <c r="V17" s="10" t="str">
        <f>IF($S17="","",0.8)</f>
        <v/>
      </c>
      <c r="W17" s="10" t="str">
        <f>IF(G17="Evet",IF(W16="",B17,W16&amp;", "&amp;B17),W16)</f>
        <v/>
      </c>
    </row>
    <row r="18" spans="1:23" x14ac:dyDescent="0.2">
      <c r="A18" s="17" t="str">
        <f>IF($S18="","",11)</f>
        <v/>
      </c>
      <c r="B18" s="16" t="str">
        <f>IF($S18="","",INDEX($N$8:$N$22,$S18))</f>
        <v/>
      </c>
      <c r="C18" s="16"/>
      <c r="D18" s="15" t="str">
        <f>IF($S18="","",INDEX($Q$8:$Q$22,$S18))</f>
        <v/>
      </c>
      <c r="E18" s="18" t="str">
        <f>IF($S18="","",D18/$D$23)</f>
        <v/>
      </c>
      <c r="F18" s="18" t="str">
        <f>IF($S18="","",SUM($D$8:D18)/$D$23)</f>
        <v/>
      </c>
      <c r="G18" s="17" t="str">
        <f>IF($S18="","",IF(F18-E18&lt;0.8-0.000000001,"Evet",""))</f>
        <v/>
      </c>
      <c r="N18" s="10" t="str">
        <f>IF(TRIM('Veri girişi'!$J$21)="","",TRIM('Veri girişi'!$J$21))</f>
        <v/>
      </c>
      <c r="O18" s="10" t="str">
        <f>IF(N18="","",SUMIF('Veri girişi'!$D$11:$D$160,N18,'Veri girişi'!$E$11:$E$160))</f>
        <v/>
      </c>
      <c r="P18" s="10" t="str">
        <f>IF(N18="","",SUMIF('Veri girişi'!$D$11:$D$160,N18,'Veri girişi'!$F$11:$F$160))</f>
        <v/>
      </c>
      <c r="Q18" s="10" t="str">
        <f>IF(N18="","",IF($E$6="Etki",P18,O18))</f>
        <v/>
      </c>
      <c r="R18" s="10" t="str">
        <f>IF(Q18="","",IF(Q18&gt;0,Q18+5/10^7,""))</f>
        <v/>
      </c>
      <c r="S18" s="10" t="str">
        <f>IFERROR(MATCH(LARGE($R$8:$R$22,11),$R$8:$R$22,0),"")</f>
        <v/>
      </c>
      <c r="T18" s="10" t="str">
        <f>IF($S18="","",IF(G18="Evet",D18,0))</f>
        <v/>
      </c>
      <c r="U18" s="10" t="str">
        <f>IF($S18="","",IF(G18="Evet",0,D18))</f>
        <v/>
      </c>
      <c r="V18" s="10" t="str">
        <f>IF($S18="","",0.8)</f>
        <v/>
      </c>
      <c r="W18" s="10" t="str">
        <f>IF(G18="Evet",IF(W17="",B18,W17&amp;", "&amp;B18),W17)</f>
        <v/>
      </c>
    </row>
    <row r="19" spans="1:23" x14ac:dyDescent="0.2">
      <c r="A19" s="17" t="str">
        <f>IF($S19="","",12)</f>
        <v/>
      </c>
      <c r="B19" s="16" t="str">
        <f>IF($S19="","",INDEX($N$8:$N$22,$S19))</f>
        <v/>
      </c>
      <c r="C19" s="16"/>
      <c r="D19" s="15" t="str">
        <f>IF($S19="","",INDEX($Q$8:$Q$22,$S19))</f>
        <v/>
      </c>
      <c r="E19" s="18" t="str">
        <f>IF($S19="","",D19/$D$23)</f>
        <v/>
      </c>
      <c r="F19" s="18" t="str">
        <f>IF($S19="","",SUM($D$8:D19)/$D$23)</f>
        <v/>
      </c>
      <c r="G19" s="17" t="str">
        <f>IF($S19="","",IF(F19-E19&lt;0.8-0.000000001,"Evet",""))</f>
        <v/>
      </c>
      <c r="N19" s="10" t="str">
        <f>IF(TRIM('Veri girişi'!$J$22)="","",TRIM('Veri girişi'!$J$22))</f>
        <v/>
      </c>
      <c r="O19" s="10" t="str">
        <f>IF(N19="","",SUMIF('Veri girişi'!$D$11:$D$160,N19,'Veri girişi'!$E$11:$E$160))</f>
        <v/>
      </c>
      <c r="P19" s="10" t="str">
        <f>IF(N19="","",SUMIF('Veri girişi'!$D$11:$D$160,N19,'Veri girişi'!$F$11:$F$160))</f>
        <v/>
      </c>
      <c r="Q19" s="10" t="str">
        <f>IF(N19="","",IF($E$6="Etki",P19,O19))</f>
        <v/>
      </c>
      <c r="R19" s="10" t="str">
        <f>IF(Q19="","",IF(Q19&gt;0,Q19+4/10^7,""))</f>
        <v/>
      </c>
      <c r="S19" s="10" t="str">
        <f>IFERROR(MATCH(LARGE($R$8:$R$22,12),$R$8:$R$22,0),"")</f>
        <v/>
      </c>
      <c r="T19" s="10" t="str">
        <f>IF($S19="","",IF(G19="Evet",D19,0))</f>
        <v/>
      </c>
      <c r="U19" s="10" t="str">
        <f>IF($S19="","",IF(G19="Evet",0,D19))</f>
        <v/>
      </c>
      <c r="V19" s="10" t="str">
        <f>IF($S19="","",0.8)</f>
        <v/>
      </c>
      <c r="W19" s="10" t="str">
        <f>IF(G19="Evet",IF(W18="",B19,W18&amp;", "&amp;B19),W18)</f>
        <v/>
      </c>
    </row>
    <row r="20" spans="1:23" x14ac:dyDescent="0.2">
      <c r="A20" s="17" t="str">
        <f>IF($S20="","",13)</f>
        <v/>
      </c>
      <c r="B20" s="16" t="str">
        <f>IF($S20="","",INDEX($N$8:$N$22,$S20))</f>
        <v/>
      </c>
      <c r="C20" s="16"/>
      <c r="D20" s="15" t="str">
        <f>IF($S20="","",INDEX($Q$8:$Q$22,$S20))</f>
        <v/>
      </c>
      <c r="E20" s="18" t="str">
        <f>IF($S20="","",D20/$D$23)</f>
        <v/>
      </c>
      <c r="F20" s="18" t="str">
        <f>IF($S20="","",SUM($D$8:D20)/$D$23)</f>
        <v/>
      </c>
      <c r="G20" s="17" t="str">
        <f>IF($S20="","",IF(F20-E20&lt;0.8-0.000000001,"Evet",""))</f>
        <v/>
      </c>
      <c r="N20" s="10" t="str">
        <f>IF(TRIM('Veri girişi'!$J$23)="","",TRIM('Veri girişi'!$J$23))</f>
        <v/>
      </c>
      <c r="O20" s="10" t="str">
        <f>IF(N20="","",SUMIF('Veri girişi'!$D$11:$D$160,N20,'Veri girişi'!$E$11:$E$160))</f>
        <v/>
      </c>
      <c r="P20" s="10" t="str">
        <f>IF(N20="","",SUMIF('Veri girişi'!$D$11:$D$160,N20,'Veri girişi'!$F$11:$F$160))</f>
        <v/>
      </c>
      <c r="Q20" s="10" t="str">
        <f>IF(N20="","",IF($E$6="Etki",P20,O20))</f>
        <v/>
      </c>
      <c r="R20" s="10" t="str">
        <f>IF(Q20="","",IF(Q20&gt;0,Q20+3/10^7,""))</f>
        <v/>
      </c>
      <c r="S20" s="10" t="str">
        <f>IFERROR(MATCH(LARGE($R$8:$R$22,13),$R$8:$R$22,0),"")</f>
        <v/>
      </c>
      <c r="T20" s="10" t="str">
        <f>IF($S20="","",IF(G20="Evet",D20,0))</f>
        <v/>
      </c>
      <c r="U20" s="10" t="str">
        <f>IF($S20="","",IF(G20="Evet",0,D20))</f>
        <v/>
      </c>
      <c r="V20" s="10" t="str">
        <f>IF($S20="","",0.8)</f>
        <v/>
      </c>
      <c r="W20" s="10" t="str">
        <f>IF(G20="Evet",IF(W19="",B20,W19&amp;", "&amp;B20),W19)</f>
        <v/>
      </c>
    </row>
    <row r="21" spans="1:23" x14ac:dyDescent="0.2">
      <c r="A21" s="17" t="str">
        <f>IF($S21="","",14)</f>
        <v/>
      </c>
      <c r="B21" s="16" t="str">
        <f>IF($S21="","",INDEX($N$8:$N$22,$S21))</f>
        <v/>
      </c>
      <c r="C21" s="16"/>
      <c r="D21" s="15" t="str">
        <f>IF($S21="","",INDEX($Q$8:$Q$22,$S21))</f>
        <v/>
      </c>
      <c r="E21" s="18" t="str">
        <f>IF($S21="","",D21/$D$23)</f>
        <v/>
      </c>
      <c r="F21" s="18" t="str">
        <f>IF($S21="","",SUM($D$8:D21)/$D$23)</f>
        <v/>
      </c>
      <c r="G21" s="17" t="str">
        <f>IF($S21="","",IF(F21-E21&lt;0.8-0.000000001,"Evet",""))</f>
        <v/>
      </c>
      <c r="N21" s="10" t="str">
        <f>IF(TRIM('Veri girişi'!$J$24)="","",TRIM('Veri girişi'!$J$24))</f>
        <v/>
      </c>
      <c r="O21" s="10" t="str">
        <f>IF(N21="","",SUMIF('Veri girişi'!$D$11:$D$160,N21,'Veri girişi'!$E$11:$E$160))</f>
        <v/>
      </c>
      <c r="P21" s="10" t="str">
        <f>IF(N21="","",SUMIF('Veri girişi'!$D$11:$D$160,N21,'Veri girişi'!$F$11:$F$160))</f>
        <v/>
      </c>
      <c r="Q21" s="10" t="str">
        <f>IF(N21="","",IF($E$6="Etki",P21,O21))</f>
        <v/>
      </c>
      <c r="R21" s="10" t="str">
        <f>IF(Q21="","",IF(Q21&gt;0,Q21+2/10^7,""))</f>
        <v/>
      </c>
      <c r="S21" s="10" t="str">
        <f>IFERROR(MATCH(LARGE($R$8:$R$22,14),$R$8:$R$22,0),"")</f>
        <v/>
      </c>
      <c r="T21" s="10" t="str">
        <f>IF($S21="","",IF(G21="Evet",D21,0))</f>
        <v/>
      </c>
      <c r="U21" s="10" t="str">
        <f>IF($S21="","",IF(G21="Evet",0,D21))</f>
        <v/>
      </c>
      <c r="V21" s="10" t="str">
        <f>IF($S21="","",0.8)</f>
        <v/>
      </c>
      <c r="W21" s="10" t="str">
        <f>IF(G21="Evet",IF(W20="",B21,W20&amp;", "&amp;B21),W20)</f>
        <v/>
      </c>
    </row>
    <row r="22" spans="1:23" x14ac:dyDescent="0.2">
      <c r="A22" s="17" t="str">
        <f>IF($S22="","",15)</f>
        <v/>
      </c>
      <c r="B22" s="16" t="str">
        <f>IF($S22="","",INDEX($N$8:$N$22,$S22))</f>
        <v/>
      </c>
      <c r="C22" s="16"/>
      <c r="D22" s="15" t="str">
        <f>IF($S22="","",INDEX($Q$8:$Q$22,$S22))</f>
        <v/>
      </c>
      <c r="E22" s="18" t="str">
        <f>IF($S22="","",D22/$D$23)</f>
        <v/>
      </c>
      <c r="F22" s="18" t="str">
        <f>IF($S22="","",SUM($D$8:D22)/$D$23)</f>
        <v/>
      </c>
      <c r="G22" s="17" t="str">
        <f>IF($S22="","",IF(F22-E22&lt;0.8-0.000000001,"Evet",""))</f>
        <v/>
      </c>
      <c r="N22" s="10" t="str">
        <f>IF(TRIM('Veri girişi'!$J$25)="","",TRIM('Veri girişi'!$J$25))</f>
        <v/>
      </c>
      <c r="O22" s="10" t="str">
        <f>IF(N22="","",SUMIF('Veri girişi'!$D$11:$D$160,N22,'Veri girişi'!$E$11:$E$160))</f>
        <v/>
      </c>
      <c r="P22" s="10" t="str">
        <f>IF(N22="","",SUMIF('Veri girişi'!$D$11:$D$160,N22,'Veri girişi'!$F$11:$F$160))</f>
        <v/>
      </c>
      <c r="Q22" s="10" t="str">
        <f>IF(N22="","",IF($E$6="Etki",P22,O22))</f>
        <v/>
      </c>
      <c r="R22" s="10" t="str">
        <f>IF(Q22="","",IF(Q22&gt;0,Q22+1/10^7,""))</f>
        <v/>
      </c>
      <c r="S22" s="10" t="str">
        <f>IFERROR(MATCH(LARGE($R$8:$R$22,15),$R$8:$R$22,0),"")</f>
        <v/>
      </c>
      <c r="T22" s="10" t="str">
        <f>IF($S22="","",IF(G22="Evet",D22,0))</f>
        <v/>
      </c>
      <c r="U22" s="10" t="str">
        <f>IF($S22="","",IF(G22="Evet",0,D22))</f>
        <v/>
      </c>
      <c r="V22" s="10" t="str">
        <f>IF($S22="","",0.8)</f>
        <v/>
      </c>
      <c r="W22" s="10" t="str">
        <f>IF(G22="Evet",IF(W21="",B22,W21&amp;", "&amp;B22),W21)</f>
        <v/>
      </c>
    </row>
    <row r="23" spans="1:23" x14ac:dyDescent="0.2">
      <c r="A23" s="6" t="s">
        <v>47</v>
      </c>
      <c r="B23" s="6"/>
      <c r="C23" s="6"/>
      <c r="D23" s="15">
        <f>SUM(D8:D22)</f>
        <v>0</v>
      </c>
      <c r="E23" s="18" t="str">
        <f>IF(D23&gt;0,1,"")</f>
        <v/>
      </c>
      <c r="F23" s="19"/>
      <c r="N23" s="10"/>
      <c r="O23" s="10"/>
      <c r="P23" s="10"/>
      <c r="Q23" s="10"/>
      <c r="R23" s="10" t="s">
        <v>48</v>
      </c>
      <c r="S23" s="10">
        <f>COUNTIF(G8:G22,"Evet")</f>
        <v>0</v>
      </c>
      <c r="T23" s="10" t="str">
        <f>IF(S23=0,"",INDEX(F8:F22,S23))</f>
        <v/>
      </c>
      <c r="U23" s="10"/>
      <c r="V23" s="10"/>
      <c r="W23" s="10"/>
    </row>
    <row r="25" spans="1:23" ht="39.950000000000003" customHeight="1" x14ac:dyDescent="0.2">
      <c r="A25" s="6" t="s">
        <v>49</v>
      </c>
      <c r="B25" s="6"/>
      <c r="C25" s="6"/>
      <c r="D25" s="20" t="str">
        <f>IF($S$23=0,"Kayıt girildikçe sonuç burada görünür.",IF($S$23=1,$W$22&amp;" kategorisi tek başına ",$S$23&amp;" kategori ("&amp;$W$22&amp;") ")&amp;IF($E$6="Etki","toplam etkinin %","sorunların %")&amp;ROUND($T$23*100,1)&amp;" kadarını oluşturuyor; önce "&amp;IF($S$23=1,"buna","bunlara")&amp;" odaklanın.")</f>
        <v>Kayıt girildikçe sonuç burada görünür.</v>
      </c>
      <c r="E25" s="20"/>
      <c r="F25" s="20"/>
      <c r="G25" s="20"/>
    </row>
    <row r="26" spans="1:23" ht="27.95" customHeight="1" x14ac:dyDescent="0.2">
      <c r="A26" s="6"/>
      <c r="B26" s="6"/>
      <c r="C26" s="6"/>
      <c r="D26" s="21" t="str">
        <f>IF($S$23=0,"","Kategorilerin %"&amp;ROUND($S$23/COUNT(D8:D22)*100,1)&amp;" kadarı, "&amp;IF($E$6="Etki","toplam etkinin %","sorunların %")&amp;ROUND($T$23*100,1)&amp;" kadarı: 80/20 kuralı. Hayati azınlıkta kök nedeni 5 Neden ile arayın.")</f>
        <v/>
      </c>
      <c r="E26" s="21"/>
      <c r="F26" s="21"/>
      <c r="G26" s="21"/>
    </row>
    <row r="28" spans="1:23" x14ac:dyDescent="0.2">
      <c r="A28" s="10" t="s">
        <v>50</v>
      </c>
    </row>
  </sheetData>
  <mergeCells count="22">
    <mergeCell ref="A23:C23"/>
    <mergeCell ref="A25:C26"/>
    <mergeCell ref="D25:G25"/>
    <mergeCell ref="D26:G26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A5:G5"/>
    <mergeCell ref="A6:D6"/>
    <mergeCell ref="B7:C7"/>
    <mergeCell ref="B8:C8"/>
    <mergeCell ref="B9:C9"/>
    <mergeCell ref="B10:C10"/>
  </mergeCells>
  <conditionalFormatting sqref="A8:G22">
    <cfRule type="expression" dxfId="1" priority="1" stopIfTrue="1">
      <formula>$G8="Evet"</formula>
    </cfRule>
  </conditionalFormatting>
  <dataValidations count="1">
    <dataValidation type="list" allowBlank="1" showInputMessage="1" showErrorMessage="1" sqref="E6" xr:uid="{B61DD5FD-91AB-4E83-9C37-7345C368C05A}">
      <formula1>"Adet,Etki"</formula1>
    </dataValidation>
  </dataValidations>
  <pageMargins left="0.39370078740157477" right="0.39370078740157477" top="0.4724409448818897" bottom="0.4724409448818897" header="0.3" footer="0.3"/>
  <pageSetup paperSize="9" scale="81" fitToHeight="0" orientation="portrait" r:id="rId1"/>
  <headerFooter>
    <oddFooter>&amp;Ceproses.com/araclar/pareto-analizi-excel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94008-2196-4FC3-9703-CED3184C9569}">
  <sheetPr>
    <pageSetUpPr fitToPage="1"/>
  </sheetPr>
  <dimension ref="A1:G7"/>
  <sheetViews>
    <sheetView showGridLines="0" workbookViewId="0">
      <selection activeCell="A6" sqref="A6:G6"/>
    </sheetView>
  </sheetViews>
  <sheetFormatPr defaultRowHeight="12.75" x14ac:dyDescent="0.2"/>
  <cols>
    <col min="1" max="1" width="6.7109375" style="1" customWidth="1"/>
    <col min="2" max="2" width="11.7109375" style="1" customWidth="1"/>
    <col min="3" max="3" width="40.7109375" style="1" customWidth="1"/>
    <col min="4" max="4" width="22.7109375" style="1" customWidth="1"/>
    <col min="5" max="5" width="10.7109375" style="1" customWidth="1"/>
    <col min="6" max="6" width="12.7109375" style="1" customWidth="1"/>
    <col min="7" max="7" width="14.7109375" style="1" customWidth="1"/>
    <col min="8" max="8" width="3.7109375" style="1" customWidth="1"/>
    <col min="9" max="9" width="5.7109375" style="1" customWidth="1"/>
    <col min="10" max="10" width="24.7109375" style="1" customWidth="1"/>
    <col min="11" max="12" width="11.7109375" style="1" customWidth="1"/>
    <col min="13" max="16384" width="9.140625" style="1"/>
  </cols>
  <sheetData>
    <row r="1" spans="1:7" ht="30" customHeight="1" x14ac:dyDescent="0.3">
      <c r="C1" s="2" t="s">
        <v>51</v>
      </c>
    </row>
    <row r="2" spans="1:7" ht="21.95" customHeight="1" x14ac:dyDescent="0.2">
      <c r="C2" s="3" t="s">
        <v>52</v>
      </c>
    </row>
    <row r="3" spans="1:7" ht="18" customHeight="1" x14ac:dyDescent="0.2">
      <c r="C3" s="4" t="s">
        <v>2</v>
      </c>
    </row>
    <row r="5" spans="1:7" ht="20.100000000000001" customHeight="1" x14ac:dyDescent="0.2">
      <c r="A5" s="5" t="s">
        <v>49</v>
      </c>
      <c r="B5" s="5"/>
      <c r="C5" s="5"/>
      <c r="D5" s="5"/>
      <c r="E5" s="5"/>
      <c r="F5" s="5"/>
      <c r="G5" s="5"/>
    </row>
    <row r="6" spans="1:7" ht="33.950000000000003" customHeight="1" x14ac:dyDescent="0.2">
      <c r="A6" s="20" t="str">
        <f>'Pareto tablosu'!D25</f>
        <v>Kayıt girildikçe sonuç burada görünür.</v>
      </c>
      <c r="B6" s="20"/>
      <c r="C6" s="20"/>
      <c r="D6" s="20"/>
      <c r="E6" s="20"/>
      <c r="F6" s="20"/>
      <c r="G6" s="20"/>
    </row>
    <row r="7" spans="1:7" x14ac:dyDescent="0.2">
      <c r="A7" s="10" t="s">
        <v>53</v>
      </c>
    </row>
  </sheetData>
  <mergeCells count="2">
    <mergeCell ref="A5:G5"/>
    <mergeCell ref="A6:G6"/>
  </mergeCells>
  <pageMargins left="0.39370078740157477" right="0.39370078740157477" top="0.4724409448818897" bottom="0.4724409448818897" header="0.3" footer="0.3"/>
  <pageSetup paperSize="9" fitToHeight="0" orientation="landscape" r:id="rId1"/>
  <headerFooter>
    <oddFooter>&amp;Ceproses.com/araclar/pareto-analizi-excel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18E95-F8FA-449D-9F27-FA43034EAFC1}">
  <sheetPr>
    <pageSetUpPr fitToPage="1"/>
  </sheetPr>
  <dimension ref="A1:AZ74"/>
  <sheetViews>
    <sheetView showGridLines="0" workbookViewId="0">
      <selection activeCell="C6" sqref="C6"/>
    </sheetView>
  </sheetViews>
  <sheetFormatPr defaultRowHeight="12.75" x14ac:dyDescent="0.2"/>
  <cols>
    <col min="1" max="1" width="6.7109375" style="1" customWidth="1"/>
    <col min="2" max="2" width="11.7109375" style="1" customWidth="1"/>
    <col min="3" max="3" width="40.7109375" style="1" customWidth="1"/>
    <col min="4" max="4" width="22.7109375" style="1" customWidth="1"/>
    <col min="5" max="5" width="10.7109375" style="1" customWidth="1"/>
    <col min="6" max="6" width="12.7109375" style="1" customWidth="1"/>
    <col min="7" max="7" width="14.7109375" style="1" customWidth="1"/>
    <col min="8" max="8" width="3.7109375" style="1" customWidth="1"/>
    <col min="9" max="9" width="5.7109375" style="1" customWidth="1"/>
    <col min="10" max="10" width="24.7109375" style="1" customWidth="1"/>
    <col min="11" max="12" width="11.7109375" style="1" customWidth="1"/>
    <col min="13" max="16384" width="9.140625" style="1"/>
  </cols>
  <sheetData>
    <row r="1" spans="1:52" ht="30" customHeight="1" x14ac:dyDescent="0.3">
      <c r="C1" s="2" t="s">
        <v>54</v>
      </c>
      <c r="AZ1"/>
    </row>
    <row r="2" spans="1:52" ht="21.95" customHeight="1" x14ac:dyDescent="0.2">
      <c r="C2" s="3" t="s">
        <v>55</v>
      </c>
    </row>
    <row r="3" spans="1:52" ht="18" customHeight="1" x14ac:dyDescent="0.2">
      <c r="C3" s="4" t="s">
        <v>2</v>
      </c>
    </row>
    <row r="5" spans="1:52" ht="20.100000000000001" customHeight="1" x14ac:dyDescent="0.2">
      <c r="A5" s="5" t="s">
        <v>3</v>
      </c>
      <c r="B5" s="5"/>
      <c r="C5" s="5"/>
      <c r="D5" s="5"/>
      <c r="E5" s="5"/>
      <c r="F5" s="5"/>
      <c r="G5" s="5"/>
    </row>
    <row r="6" spans="1:52" x14ac:dyDescent="0.2">
      <c r="A6" s="6" t="s">
        <v>4</v>
      </c>
      <c r="B6" s="6"/>
      <c r="C6" s="7" t="s">
        <v>56</v>
      </c>
      <c r="D6" s="8" t="s">
        <v>5</v>
      </c>
      <c r="E6" s="9" t="s">
        <v>57</v>
      </c>
      <c r="F6" s="9"/>
      <c r="G6" s="9"/>
    </row>
    <row r="7" spans="1:52" x14ac:dyDescent="0.2">
      <c r="A7" s="6" t="s">
        <v>6</v>
      </c>
      <c r="B7" s="6"/>
      <c r="C7" s="7" t="s">
        <v>58</v>
      </c>
      <c r="D7" s="8" t="s">
        <v>7</v>
      </c>
      <c r="E7" s="9" t="s">
        <v>59</v>
      </c>
      <c r="F7" s="9"/>
      <c r="G7" s="9"/>
    </row>
    <row r="8" spans="1:52" x14ac:dyDescent="0.2">
      <c r="E8" s="10" t="s">
        <v>9</v>
      </c>
    </row>
    <row r="9" spans="1:52" ht="20.100000000000001" customHeight="1" x14ac:dyDescent="0.2">
      <c r="A9" s="5" t="s">
        <v>10</v>
      </c>
      <c r="B9" s="5"/>
      <c r="C9" s="5"/>
      <c r="D9" s="5"/>
      <c r="E9" s="5"/>
      <c r="F9" s="5"/>
      <c r="G9" s="5"/>
      <c r="I9" s="5" t="s">
        <v>16</v>
      </c>
      <c r="J9" s="5"/>
      <c r="K9" s="5"/>
      <c r="L9" s="5"/>
    </row>
    <row r="10" spans="1:52" ht="26.1" customHeight="1" x14ac:dyDescent="0.2">
      <c r="A10" s="11" t="s">
        <v>11</v>
      </c>
      <c r="B10" s="11" t="s">
        <v>12</v>
      </c>
      <c r="C10" s="11" t="s">
        <v>13</v>
      </c>
      <c r="D10" s="11" t="s">
        <v>14</v>
      </c>
      <c r="E10" s="11" t="s">
        <v>15</v>
      </c>
      <c r="F10" s="12" t="str">
        <f>"Etki ("&amp;IF($E$7="","TL",$E$7)&amp;")"</f>
        <v>Etki (dk)</v>
      </c>
      <c r="G10" s="12"/>
      <c r="I10" s="11" t="s">
        <v>11</v>
      </c>
      <c r="J10" s="11" t="s">
        <v>17</v>
      </c>
      <c r="K10" s="11" t="s">
        <v>18</v>
      </c>
      <c r="L10" s="11" t="s">
        <v>19</v>
      </c>
    </row>
    <row r="11" spans="1:52" x14ac:dyDescent="0.2">
      <c r="A11" s="13">
        <v>1</v>
      </c>
      <c r="B11" s="14"/>
      <c r="C11" s="7" t="s">
        <v>60</v>
      </c>
      <c r="D11" s="7" t="s">
        <v>20</v>
      </c>
      <c r="E11" s="7">
        <v>26</v>
      </c>
      <c r="F11" s="9">
        <v>210</v>
      </c>
      <c r="G11" s="9"/>
      <c r="I11" s="13">
        <v>1</v>
      </c>
      <c r="J11" s="7" t="s">
        <v>20</v>
      </c>
      <c r="K11" s="15">
        <f>IF(J11="","",SUMIF($D$11:$D$25,J11,$E$11:$E$25))</f>
        <v>40</v>
      </c>
      <c r="L11" s="15">
        <f>IF(J11="","",SUMIF($D$11:$D$25,J11,$F$11:$F$25))</f>
        <v>700</v>
      </c>
    </row>
    <row r="12" spans="1:52" x14ac:dyDescent="0.2">
      <c r="A12" s="13">
        <v>2</v>
      </c>
      <c r="B12" s="14"/>
      <c r="C12" s="7" t="s">
        <v>61</v>
      </c>
      <c r="D12" s="7" t="s">
        <v>21</v>
      </c>
      <c r="E12" s="7">
        <v>31</v>
      </c>
      <c r="F12" s="9">
        <v>360</v>
      </c>
      <c r="G12" s="9"/>
      <c r="I12" s="13">
        <v>2</v>
      </c>
      <c r="J12" s="7" t="s">
        <v>21</v>
      </c>
      <c r="K12" s="15">
        <f>IF(J12="","",SUMIF($D$11:$D$25,J12,$E$11:$E$25))</f>
        <v>58</v>
      </c>
      <c r="L12" s="15">
        <f>IF(J12="","",SUMIF($D$11:$D$25,J12,$F$11:$F$25))</f>
        <v>670</v>
      </c>
    </row>
    <row r="13" spans="1:52" x14ac:dyDescent="0.2">
      <c r="A13" s="13">
        <v>3</v>
      </c>
      <c r="B13" s="14"/>
      <c r="C13" s="7" t="s">
        <v>62</v>
      </c>
      <c r="D13" s="7" t="s">
        <v>22</v>
      </c>
      <c r="E13" s="7">
        <v>9</v>
      </c>
      <c r="F13" s="9">
        <v>405</v>
      </c>
      <c r="G13" s="9"/>
      <c r="I13" s="13">
        <v>3</v>
      </c>
      <c r="J13" s="7" t="s">
        <v>22</v>
      </c>
      <c r="K13" s="15">
        <f>IF(J13="","",SUMIF($D$11:$D$25,J13,$E$11:$E$25))</f>
        <v>9</v>
      </c>
      <c r="L13" s="15">
        <f>IF(J13="","",SUMIF($D$11:$D$25,J13,$F$11:$F$25))</f>
        <v>405</v>
      </c>
    </row>
    <row r="14" spans="1:52" x14ac:dyDescent="0.2">
      <c r="A14" s="13">
        <v>4</v>
      </c>
      <c r="B14" s="14"/>
      <c r="C14" s="7" t="s">
        <v>63</v>
      </c>
      <c r="D14" s="7" t="s">
        <v>21</v>
      </c>
      <c r="E14" s="7">
        <v>17</v>
      </c>
      <c r="F14" s="9">
        <v>250</v>
      </c>
      <c r="G14" s="9"/>
      <c r="I14" s="13">
        <v>4</v>
      </c>
      <c r="J14" s="7" t="s">
        <v>23</v>
      </c>
      <c r="K14" s="15">
        <f>IF(J14="","",SUMIF($D$11:$D$25,J14,$E$11:$E$25))</f>
        <v>6</v>
      </c>
      <c r="L14" s="15">
        <f>IF(J14="","",SUMIF($D$11:$D$25,J14,$F$11:$F$25))</f>
        <v>60</v>
      </c>
    </row>
    <row r="15" spans="1:52" x14ac:dyDescent="0.2">
      <c r="A15" s="13">
        <v>5</v>
      </c>
      <c r="B15" s="14"/>
      <c r="C15" s="7" t="s">
        <v>64</v>
      </c>
      <c r="D15" s="7" t="s">
        <v>23</v>
      </c>
      <c r="E15" s="7">
        <v>6</v>
      </c>
      <c r="F15" s="9">
        <v>60</v>
      </c>
      <c r="G15" s="9"/>
      <c r="I15" s="13">
        <v>5</v>
      </c>
      <c r="J15" s="7" t="s">
        <v>24</v>
      </c>
      <c r="K15" s="15">
        <f>IF(J15="","",SUMIF($D$11:$D$25,J15,$E$11:$E$25))</f>
        <v>4</v>
      </c>
      <c r="L15" s="15">
        <f>IF(J15="","",SUMIF($D$11:$D$25,J15,$F$11:$F$25))</f>
        <v>40</v>
      </c>
    </row>
    <row r="16" spans="1:52" x14ac:dyDescent="0.2">
      <c r="A16" s="13">
        <v>6</v>
      </c>
      <c r="B16" s="14"/>
      <c r="C16" s="7" t="s">
        <v>65</v>
      </c>
      <c r="D16" s="7" t="s">
        <v>20</v>
      </c>
      <c r="E16" s="7">
        <v>14</v>
      </c>
      <c r="F16" s="9">
        <v>490</v>
      </c>
      <c r="G16" s="9"/>
      <c r="I16" s="13">
        <v>6</v>
      </c>
      <c r="J16" s="7" t="s">
        <v>25</v>
      </c>
      <c r="K16" s="15">
        <f>IF(J16="","",SUMIF($D$11:$D$25,J16,$E$11:$E$25))</f>
        <v>3</v>
      </c>
      <c r="L16" s="15">
        <f>IF(J16="","",SUMIF($D$11:$D$25,J16,$F$11:$F$25))</f>
        <v>90</v>
      </c>
    </row>
    <row r="17" spans="1:23" x14ac:dyDescent="0.2">
      <c r="A17" s="13">
        <v>7</v>
      </c>
      <c r="B17" s="14"/>
      <c r="C17" s="7" t="s">
        <v>66</v>
      </c>
      <c r="D17" s="7" t="s">
        <v>24</v>
      </c>
      <c r="E17" s="7">
        <v>4</v>
      </c>
      <c r="F17" s="9">
        <v>40</v>
      </c>
      <c r="G17" s="9"/>
      <c r="I17" s="13">
        <v>7</v>
      </c>
      <c r="J17" s="7"/>
      <c r="K17" s="15" t="str">
        <f>IF(J17="","",SUMIF($D$11:$D$25,J17,$E$11:$E$25))</f>
        <v/>
      </c>
      <c r="L17" s="15" t="str">
        <f>IF(J17="","",SUMIF($D$11:$D$25,J17,$F$11:$F$25))</f>
        <v/>
      </c>
    </row>
    <row r="18" spans="1:23" x14ac:dyDescent="0.2">
      <c r="A18" s="13">
        <v>8</v>
      </c>
      <c r="B18" s="14"/>
      <c r="C18" s="7" t="s">
        <v>67</v>
      </c>
      <c r="D18" s="7" t="s">
        <v>21</v>
      </c>
      <c r="E18" s="7">
        <v>10</v>
      </c>
      <c r="F18" s="9">
        <v>60</v>
      </c>
      <c r="G18" s="9"/>
      <c r="I18" s="13">
        <v>8</v>
      </c>
      <c r="J18" s="7"/>
      <c r="K18" s="15" t="str">
        <f>IF(J18="","",SUMIF($D$11:$D$25,J18,$E$11:$E$25))</f>
        <v/>
      </c>
      <c r="L18" s="15" t="str">
        <f>IF(J18="","",SUMIF($D$11:$D$25,J18,$F$11:$F$25))</f>
        <v/>
      </c>
    </row>
    <row r="19" spans="1:23" x14ac:dyDescent="0.2">
      <c r="A19" s="13">
        <v>9</v>
      </c>
      <c r="B19" s="14"/>
      <c r="C19" s="7" t="s">
        <v>68</v>
      </c>
      <c r="D19" s="7" t="s">
        <v>25</v>
      </c>
      <c r="E19" s="7">
        <v>3</v>
      </c>
      <c r="F19" s="9">
        <v>90</v>
      </c>
      <c r="G19" s="9"/>
      <c r="I19" s="13">
        <v>9</v>
      </c>
      <c r="J19" s="7"/>
      <c r="K19" s="15" t="str">
        <f>IF(J19="","",SUMIF($D$11:$D$25,J19,$E$11:$E$25))</f>
        <v/>
      </c>
      <c r="L19" s="15" t="str">
        <f>IF(J19="","",SUMIF($D$11:$D$25,J19,$F$11:$F$25))</f>
        <v/>
      </c>
    </row>
    <row r="20" spans="1:23" x14ac:dyDescent="0.2">
      <c r="A20" s="13">
        <v>10</v>
      </c>
      <c r="B20" s="14"/>
      <c r="C20" s="7"/>
      <c r="D20" s="7"/>
      <c r="E20" s="7"/>
      <c r="F20" s="9"/>
      <c r="G20" s="9"/>
      <c r="I20" s="13">
        <v>10</v>
      </c>
      <c r="J20" s="7"/>
      <c r="K20" s="15" t="str">
        <f>IF(J20="","",SUMIF($D$11:$D$25,J20,$E$11:$E$25))</f>
        <v/>
      </c>
      <c r="L20" s="15" t="str">
        <f>IF(J20="","",SUMIF($D$11:$D$25,J20,$F$11:$F$25))</f>
        <v/>
      </c>
    </row>
    <row r="21" spans="1:23" x14ac:dyDescent="0.2">
      <c r="A21" s="13">
        <v>11</v>
      </c>
      <c r="B21" s="14"/>
      <c r="C21" s="7"/>
      <c r="D21" s="7"/>
      <c r="E21" s="7"/>
      <c r="F21" s="9"/>
      <c r="G21" s="9"/>
      <c r="I21" s="13">
        <v>11</v>
      </c>
      <c r="J21" s="7"/>
      <c r="K21" s="15" t="str">
        <f>IF(J21="","",SUMIF($D$11:$D$25,J21,$E$11:$E$25))</f>
        <v/>
      </c>
      <c r="L21" s="15" t="str">
        <f>IF(J21="","",SUMIF($D$11:$D$25,J21,$F$11:$F$25))</f>
        <v/>
      </c>
    </row>
    <row r="22" spans="1:23" x14ac:dyDescent="0.2">
      <c r="A22" s="13">
        <v>12</v>
      </c>
      <c r="B22" s="14"/>
      <c r="C22" s="7"/>
      <c r="D22" s="7"/>
      <c r="E22" s="7"/>
      <c r="F22" s="9"/>
      <c r="G22" s="9"/>
      <c r="I22" s="13">
        <v>12</v>
      </c>
      <c r="J22" s="7"/>
      <c r="K22" s="15" t="str">
        <f>IF(J22="","",SUMIF($D$11:$D$25,J22,$E$11:$E$25))</f>
        <v/>
      </c>
      <c r="L22" s="15" t="str">
        <f>IF(J22="","",SUMIF($D$11:$D$25,J22,$F$11:$F$25))</f>
        <v/>
      </c>
    </row>
    <row r="23" spans="1:23" x14ac:dyDescent="0.2">
      <c r="A23" s="13">
        <v>13</v>
      </c>
      <c r="B23" s="14"/>
      <c r="C23" s="7"/>
      <c r="D23" s="7"/>
      <c r="E23" s="7"/>
      <c r="F23" s="9"/>
      <c r="G23" s="9"/>
      <c r="I23" s="13">
        <v>13</v>
      </c>
      <c r="J23" s="7"/>
      <c r="K23" s="15" t="str">
        <f>IF(J23="","",SUMIF($D$11:$D$25,J23,$E$11:$E$25))</f>
        <v/>
      </c>
      <c r="L23" s="15" t="str">
        <f>IF(J23="","",SUMIF($D$11:$D$25,J23,$F$11:$F$25))</f>
        <v/>
      </c>
    </row>
    <row r="24" spans="1:23" x14ac:dyDescent="0.2">
      <c r="A24" s="13">
        <v>14</v>
      </c>
      <c r="B24" s="14"/>
      <c r="C24" s="7"/>
      <c r="D24" s="7"/>
      <c r="E24" s="7"/>
      <c r="F24" s="9"/>
      <c r="G24" s="9"/>
      <c r="I24" s="13">
        <v>14</v>
      </c>
      <c r="J24" s="7"/>
      <c r="K24" s="15" t="str">
        <f>IF(J24="","",SUMIF($D$11:$D$25,J24,$E$11:$E$25))</f>
        <v/>
      </c>
      <c r="L24" s="15" t="str">
        <f>IF(J24="","",SUMIF($D$11:$D$25,J24,$F$11:$F$25))</f>
        <v/>
      </c>
    </row>
    <row r="25" spans="1:23" x14ac:dyDescent="0.2">
      <c r="A25" s="13">
        <v>15</v>
      </c>
      <c r="B25" s="14"/>
      <c r="C25" s="7"/>
      <c r="D25" s="7"/>
      <c r="E25" s="7"/>
      <c r="F25" s="9"/>
      <c r="G25" s="9"/>
      <c r="I25" s="13">
        <v>15</v>
      </c>
      <c r="J25" s="7"/>
      <c r="K25" s="15" t="str">
        <f>IF(J25="","",SUMIF($D$11:$D$25,J25,$E$11:$E$25))</f>
        <v/>
      </c>
      <c r="L25" s="15" t="str">
        <f>IF(J25="","",SUMIF($D$11:$D$25,J25,$F$11:$F$25))</f>
        <v/>
      </c>
    </row>
    <row r="27" spans="1:23" ht="20.100000000000001" customHeight="1" x14ac:dyDescent="0.2">
      <c r="A27" s="5" t="s">
        <v>31</v>
      </c>
      <c r="B27" s="5"/>
      <c r="C27" s="5"/>
      <c r="D27" s="5"/>
      <c r="E27" s="5"/>
      <c r="F27" s="5"/>
      <c r="G27" s="5"/>
      <c r="I27" s="10" t="s">
        <v>26</v>
      </c>
    </row>
    <row r="28" spans="1:23" x14ac:dyDescent="0.2">
      <c r="A28" s="6" t="s">
        <v>32</v>
      </c>
      <c r="B28" s="6"/>
      <c r="C28" s="6"/>
      <c r="D28" s="6"/>
      <c r="E28" s="7" t="s">
        <v>15</v>
      </c>
      <c r="F28" s="10" t="s">
        <v>33</v>
      </c>
      <c r="I28" s="10" t="s">
        <v>27</v>
      </c>
      <c r="N28" s="10" t="s">
        <v>46</v>
      </c>
      <c r="O28" s="10"/>
      <c r="P28" s="10"/>
      <c r="Q28" s="10"/>
      <c r="R28" s="10"/>
      <c r="S28" s="10"/>
      <c r="T28" s="10"/>
      <c r="U28" s="10"/>
      <c r="V28" s="10"/>
      <c r="W28" s="10"/>
    </row>
    <row r="29" spans="1:23" ht="26.1" customHeight="1" x14ac:dyDescent="0.2">
      <c r="A29" s="11" t="s">
        <v>34</v>
      </c>
      <c r="B29" s="12" t="s">
        <v>14</v>
      </c>
      <c r="C29" s="12"/>
      <c r="D29" s="11" t="str">
        <f>IF($E$28="Etki","Etki ("&amp;IF(Örnek!$E$7="","TL",Örnek!$E$7)&amp;")","Adet")</f>
        <v>Adet</v>
      </c>
      <c r="E29" s="11" t="s">
        <v>35</v>
      </c>
      <c r="F29" s="11" t="s">
        <v>36</v>
      </c>
      <c r="G29" s="11" t="s">
        <v>37</v>
      </c>
      <c r="N29" s="10" t="s">
        <v>14</v>
      </c>
      <c r="O29" s="10" t="s">
        <v>15</v>
      </c>
      <c r="P29" s="10" t="s">
        <v>38</v>
      </c>
      <c r="Q29" s="10" t="s">
        <v>39</v>
      </c>
      <c r="R29" s="10" t="s">
        <v>40</v>
      </c>
      <c r="S29" s="10" t="s">
        <v>41</v>
      </c>
      <c r="T29" s="10" t="s">
        <v>42</v>
      </c>
      <c r="U29" s="10" t="s">
        <v>43</v>
      </c>
      <c r="V29" s="10" t="s">
        <v>44</v>
      </c>
      <c r="W29" s="10" t="s">
        <v>45</v>
      </c>
    </row>
    <row r="30" spans="1:23" x14ac:dyDescent="0.2">
      <c r="A30" s="17">
        <f>IF($S30="","",1)</f>
        <v>1</v>
      </c>
      <c r="B30" s="16" t="str">
        <f>IF($S30="","",INDEX($N$30:$N$44,$S30))</f>
        <v>Malzeme bekleme</v>
      </c>
      <c r="C30" s="16"/>
      <c r="D30" s="15">
        <f>IF($S30="","",INDEX($Q$30:$Q$44,$S30))</f>
        <v>58</v>
      </c>
      <c r="E30" s="18">
        <f>IF($S30="","",D30/$D$45)</f>
        <v>0.48333333333333334</v>
      </c>
      <c r="F30" s="18">
        <f>IF($S30="","",SUM($D$30:D30)/$D$45)</f>
        <v>0.48333333333333334</v>
      </c>
      <c r="G30" s="17" t="str">
        <f>IF($S30="","",IF(F30-E30&lt;0.8-0.000000001,"Evet",""))</f>
        <v>Evet</v>
      </c>
      <c r="N30" s="10" t="str">
        <f>IF(TRIM(Örnek!$J$11)="","",TRIM(Örnek!$J$11))</f>
        <v>Arıza</v>
      </c>
      <c r="O30" s="10">
        <f>IF(N30="","",SUMIF(Örnek!$D$11:$D$25,N30,Örnek!$E$11:$E$25))</f>
        <v>40</v>
      </c>
      <c r="P30" s="10">
        <f>IF(N30="","",SUMIF(Örnek!$D$11:$D$25,N30,Örnek!$F$11:$F$25))</f>
        <v>700</v>
      </c>
      <c r="Q30" s="10">
        <f>IF(N30="","",IF($E$28="Etki",P30,O30))</f>
        <v>40</v>
      </c>
      <c r="R30" s="10">
        <f>IF(Q30="","",IF(Q30&gt;0,Q30+15/10^7,""))</f>
        <v>40.000001500000003</v>
      </c>
      <c r="S30" s="10">
        <f>IFERROR(MATCH(LARGE($R$30:$R$44,1),$R$30:$R$44,0),"")</f>
        <v>2</v>
      </c>
      <c r="T30" s="10">
        <f>IF($S30="","",IF(G30="Evet",D30,0))</f>
        <v>58</v>
      </c>
      <c r="U30" s="10">
        <f>IF($S30="","",IF(G30="Evet",0,D30))</f>
        <v>0</v>
      </c>
      <c r="V30" s="10">
        <f>IF($S30="","",0.8)</f>
        <v>0.8</v>
      </c>
      <c r="W30" s="10" t="str">
        <f>IF(G30="Evet",IF(""="",B30,""&amp;", "&amp;B30),"")</f>
        <v>Malzeme bekleme</v>
      </c>
    </row>
    <row r="31" spans="1:23" x14ac:dyDescent="0.2">
      <c r="A31" s="17">
        <f>IF($S31="","",2)</f>
        <v>2</v>
      </c>
      <c r="B31" s="16" t="str">
        <f>IF($S31="","",INDEX($N$30:$N$44,$S31))</f>
        <v>Arıza</v>
      </c>
      <c r="C31" s="16"/>
      <c r="D31" s="15">
        <f>IF($S31="","",INDEX($Q$30:$Q$44,$S31))</f>
        <v>40</v>
      </c>
      <c r="E31" s="18">
        <f>IF($S31="","",D31/$D$45)</f>
        <v>0.33333333333333331</v>
      </c>
      <c r="F31" s="18">
        <f>IF($S31="","",SUM($D$30:D31)/$D$45)</f>
        <v>0.81666666666666665</v>
      </c>
      <c r="G31" s="17" t="str">
        <f>IF($S31="","",IF(F31-E31&lt;0.8-0.000000001,"Evet",""))</f>
        <v>Evet</v>
      </c>
      <c r="N31" s="10" t="str">
        <f>IF(TRIM(Örnek!$J$12)="","",TRIM(Örnek!$J$12))</f>
        <v>Malzeme bekleme</v>
      </c>
      <c r="O31" s="10">
        <f>IF(N31="","",SUMIF(Örnek!$D$11:$D$25,N31,Örnek!$E$11:$E$25))</f>
        <v>58</v>
      </c>
      <c r="P31" s="10">
        <f>IF(N31="","",SUMIF(Örnek!$D$11:$D$25,N31,Örnek!$F$11:$F$25))</f>
        <v>670</v>
      </c>
      <c r="Q31" s="10">
        <f>IF(N31="","",IF($E$28="Etki",P31,O31))</f>
        <v>58</v>
      </c>
      <c r="R31" s="10">
        <f>IF(Q31="","",IF(Q31&gt;0,Q31+14/10^7,""))</f>
        <v>58.000001400000002</v>
      </c>
      <c r="S31" s="10">
        <f>IFERROR(MATCH(LARGE($R$30:$R$44,2),$R$30:$R$44,0),"")</f>
        <v>1</v>
      </c>
      <c r="T31" s="10">
        <f>IF($S31="","",IF(G31="Evet",D31,0))</f>
        <v>40</v>
      </c>
      <c r="U31" s="10">
        <f>IF($S31="","",IF(G31="Evet",0,D31))</f>
        <v>0</v>
      </c>
      <c r="V31" s="10">
        <f>IF($S31="","",0.8)</f>
        <v>0.8</v>
      </c>
      <c r="W31" s="10" t="str">
        <f>IF(G31="Evet",IF(W30="",B31,W30&amp;", "&amp;B31),W30)</f>
        <v>Malzeme bekleme, Arıza</v>
      </c>
    </row>
    <row r="32" spans="1:23" x14ac:dyDescent="0.2">
      <c r="A32" s="17">
        <f>IF($S32="","",3)</f>
        <v>3</v>
      </c>
      <c r="B32" s="16" t="str">
        <f>IF($S32="","",INDEX($N$30:$N$44,$S32))</f>
        <v>Ayar / tip değişimi</v>
      </c>
      <c r="C32" s="16"/>
      <c r="D32" s="15">
        <f>IF($S32="","",INDEX($Q$30:$Q$44,$S32))</f>
        <v>9</v>
      </c>
      <c r="E32" s="18">
        <f>IF($S32="","",D32/$D$45)</f>
        <v>7.4999999999999997E-2</v>
      </c>
      <c r="F32" s="18">
        <f>IF($S32="","",SUM($D$30:D32)/$D$45)</f>
        <v>0.89166666666666672</v>
      </c>
      <c r="G32" s="17" t="str">
        <f>IF($S32="","",IF(F32-E32&lt;0.8-0.000000001,"Evet",""))</f>
        <v/>
      </c>
      <c r="N32" s="10" t="str">
        <f>IF(TRIM(Örnek!$J$13)="","",TRIM(Örnek!$J$13))</f>
        <v>Ayar / tip değişimi</v>
      </c>
      <c r="O32" s="10">
        <f>IF(N32="","",SUMIF(Örnek!$D$11:$D$25,N32,Örnek!$E$11:$E$25))</f>
        <v>9</v>
      </c>
      <c r="P32" s="10">
        <f>IF(N32="","",SUMIF(Örnek!$D$11:$D$25,N32,Örnek!$F$11:$F$25))</f>
        <v>405</v>
      </c>
      <c r="Q32" s="10">
        <f>IF(N32="","",IF($E$28="Etki",P32,O32))</f>
        <v>9</v>
      </c>
      <c r="R32" s="10">
        <f>IF(Q32="","",IF(Q32&gt;0,Q32+13/10^7,""))</f>
        <v>9.0000012999999992</v>
      </c>
      <c r="S32" s="10">
        <f>IFERROR(MATCH(LARGE($R$30:$R$44,3),$R$30:$R$44,0),"")</f>
        <v>3</v>
      </c>
      <c r="T32" s="10">
        <f>IF($S32="","",IF(G32="Evet",D32,0))</f>
        <v>0</v>
      </c>
      <c r="U32" s="10">
        <f>IF($S32="","",IF(G32="Evet",0,D32))</f>
        <v>9</v>
      </c>
      <c r="V32" s="10">
        <f>IF($S32="","",0.8)</f>
        <v>0.8</v>
      </c>
      <c r="W32" s="10" t="str">
        <f>IF(G32="Evet",IF(W31="",B32,W31&amp;", "&amp;B32),W31)</f>
        <v>Malzeme bekleme, Arıza</v>
      </c>
    </row>
    <row r="33" spans="1:23" x14ac:dyDescent="0.2">
      <c r="A33" s="17">
        <f>IF($S33="","",4)</f>
        <v>4</v>
      </c>
      <c r="B33" s="16" t="str">
        <f>IF($S33="","",INDEX($N$30:$N$44,$S33))</f>
        <v>Kalite / fire</v>
      </c>
      <c r="C33" s="16"/>
      <c r="D33" s="15">
        <f>IF($S33="","",INDEX($Q$30:$Q$44,$S33))</f>
        <v>6</v>
      </c>
      <c r="E33" s="18">
        <f>IF($S33="","",D33/$D$45)</f>
        <v>0.05</v>
      </c>
      <c r="F33" s="18">
        <f>IF($S33="","",SUM($D$30:D33)/$D$45)</f>
        <v>0.94166666666666665</v>
      </c>
      <c r="G33" s="17" t="str">
        <f>IF($S33="","",IF(F33-E33&lt;0.8-0.000000001,"Evet",""))</f>
        <v/>
      </c>
      <c r="N33" s="10" t="str">
        <f>IF(TRIM(Örnek!$J$14)="","",TRIM(Örnek!$J$14))</f>
        <v>Kalite / fire</v>
      </c>
      <c r="O33" s="10">
        <f>IF(N33="","",SUMIF(Örnek!$D$11:$D$25,N33,Örnek!$E$11:$E$25))</f>
        <v>6</v>
      </c>
      <c r="P33" s="10">
        <f>IF(N33="","",SUMIF(Örnek!$D$11:$D$25,N33,Örnek!$F$11:$F$25))</f>
        <v>60</v>
      </c>
      <c r="Q33" s="10">
        <f>IF(N33="","",IF($E$28="Etki",P33,O33))</f>
        <v>6</v>
      </c>
      <c r="R33" s="10">
        <f>IF(Q33="","",IF(Q33&gt;0,Q33+12/10^7,""))</f>
        <v>6.0000011999999998</v>
      </c>
      <c r="S33" s="10">
        <f>IFERROR(MATCH(LARGE($R$30:$R$44,4),$R$30:$R$44,0),"")</f>
        <v>4</v>
      </c>
      <c r="T33" s="10">
        <f>IF($S33="","",IF(G33="Evet",D33,0))</f>
        <v>0</v>
      </c>
      <c r="U33" s="10">
        <f>IF($S33="","",IF(G33="Evet",0,D33))</f>
        <v>6</v>
      </c>
      <c r="V33" s="10">
        <f>IF($S33="","",0.8)</f>
        <v>0.8</v>
      </c>
      <c r="W33" s="10" t="str">
        <f>IF(G33="Evet",IF(W32="",B33,W32&amp;", "&amp;B33),W32)</f>
        <v>Malzeme bekleme, Arıza</v>
      </c>
    </row>
    <row r="34" spans="1:23" x14ac:dyDescent="0.2">
      <c r="A34" s="17">
        <f>IF($S34="","",5)</f>
        <v>5</v>
      </c>
      <c r="B34" s="16" t="str">
        <f>IF($S34="","",INDEX($N$30:$N$44,$S34))</f>
        <v>Personel</v>
      </c>
      <c r="C34" s="16"/>
      <c r="D34" s="15">
        <f>IF($S34="","",INDEX($Q$30:$Q$44,$S34))</f>
        <v>4</v>
      </c>
      <c r="E34" s="18">
        <f>IF($S34="","",D34/$D$45)</f>
        <v>3.3333333333333333E-2</v>
      </c>
      <c r="F34" s="18">
        <f>IF($S34="","",SUM($D$30:D34)/$D$45)</f>
        <v>0.97499999999999998</v>
      </c>
      <c r="G34" s="17" t="str">
        <f>IF($S34="","",IF(F34-E34&lt;0.8-0.000000001,"Evet",""))</f>
        <v/>
      </c>
      <c r="N34" s="10" t="str">
        <f>IF(TRIM(Örnek!$J$15)="","",TRIM(Örnek!$J$15))</f>
        <v>Personel</v>
      </c>
      <c r="O34" s="10">
        <f>IF(N34="","",SUMIF(Örnek!$D$11:$D$25,N34,Örnek!$E$11:$E$25))</f>
        <v>4</v>
      </c>
      <c r="P34" s="10">
        <f>IF(N34="","",SUMIF(Örnek!$D$11:$D$25,N34,Örnek!$F$11:$F$25))</f>
        <v>40</v>
      </c>
      <c r="Q34" s="10">
        <f>IF(N34="","",IF($E$28="Etki",P34,O34))</f>
        <v>4</v>
      </c>
      <c r="R34" s="10">
        <f>IF(Q34="","",IF(Q34&gt;0,Q34+11/10^7,""))</f>
        <v>4.0000011000000004</v>
      </c>
      <c r="S34" s="10">
        <f>IFERROR(MATCH(LARGE($R$30:$R$44,5),$R$30:$R$44,0),"")</f>
        <v>5</v>
      </c>
      <c r="T34" s="10">
        <f>IF($S34="","",IF(G34="Evet",D34,0))</f>
        <v>0</v>
      </c>
      <c r="U34" s="10">
        <f>IF($S34="","",IF(G34="Evet",0,D34))</f>
        <v>4</v>
      </c>
      <c r="V34" s="10">
        <f>IF($S34="","",0.8)</f>
        <v>0.8</v>
      </c>
      <c r="W34" s="10" t="str">
        <f>IF(G34="Evet",IF(W33="",B34,W33&amp;", "&amp;B34),W33)</f>
        <v>Malzeme bekleme, Arıza</v>
      </c>
    </row>
    <row r="35" spans="1:23" x14ac:dyDescent="0.2">
      <c r="A35" s="17">
        <f>IF($S35="","",6)</f>
        <v>6</v>
      </c>
      <c r="B35" s="16" t="str">
        <f>IF($S35="","",INDEX($N$30:$N$44,$S35))</f>
        <v>Planlama</v>
      </c>
      <c r="C35" s="16"/>
      <c r="D35" s="15">
        <f>IF($S35="","",INDEX($Q$30:$Q$44,$S35))</f>
        <v>3</v>
      </c>
      <c r="E35" s="18">
        <f>IF($S35="","",D35/$D$45)</f>
        <v>2.5000000000000001E-2</v>
      </c>
      <c r="F35" s="18">
        <f>IF($S35="","",SUM($D$30:D35)/$D$45)</f>
        <v>1</v>
      </c>
      <c r="G35" s="17" t="str">
        <f>IF($S35="","",IF(F35-E35&lt;0.8-0.000000001,"Evet",""))</f>
        <v/>
      </c>
      <c r="N35" s="10" t="str">
        <f>IF(TRIM(Örnek!$J$16)="","",TRIM(Örnek!$J$16))</f>
        <v>Planlama</v>
      </c>
      <c r="O35" s="10">
        <f>IF(N35="","",SUMIF(Örnek!$D$11:$D$25,N35,Örnek!$E$11:$E$25))</f>
        <v>3</v>
      </c>
      <c r="P35" s="10">
        <f>IF(N35="","",SUMIF(Örnek!$D$11:$D$25,N35,Örnek!$F$11:$F$25))</f>
        <v>90</v>
      </c>
      <c r="Q35" s="10">
        <f>IF(N35="","",IF($E$28="Etki",P35,O35))</f>
        <v>3</v>
      </c>
      <c r="R35" s="10">
        <f>IF(Q35="","",IF(Q35&gt;0,Q35+10/10^7,""))</f>
        <v>3.0000010000000001</v>
      </c>
      <c r="S35" s="10">
        <f>IFERROR(MATCH(LARGE($R$30:$R$44,6),$R$30:$R$44,0),"")</f>
        <v>6</v>
      </c>
      <c r="T35" s="10">
        <f>IF($S35="","",IF(G35="Evet",D35,0))</f>
        <v>0</v>
      </c>
      <c r="U35" s="10">
        <f>IF($S35="","",IF(G35="Evet",0,D35))</f>
        <v>3</v>
      </c>
      <c r="V35" s="10">
        <f>IF($S35="","",0.8)</f>
        <v>0.8</v>
      </c>
      <c r="W35" s="10" t="str">
        <f>IF(G35="Evet",IF(W34="",B35,W34&amp;", "&amp;B35),W34)</f>
        <v>Malzeme bekleme, Arıza</v>
      </c>
    </row>
    <row r="36" spans="1:23" x14ac:dyDescent="0.2">
      <c r="A36" s="17" t="str">
        <f>IF($S36="","",7)</f>
        <v/>
      </c>
      <c r="B36" s="16" t="str">
        <f>IF($S36="","",INDEX($N$30:$N$44,$S36))</f>
        <v/>
      </c>
      <c r="C36" s="16"/>
      <c r="D36" s="15" t="str">
        <f>IF($S36="","",INDEX($Q$30:$Q$44,$S36))</f>
        <v/>
      </c>
      <c r="E36" s="18" t="str">
        <f>IF($S36="","",D36/$D$45)</f>
        <v/>
      </c>
      <c r="F36" s="18" t="str">
        <f>IF($S36="","",SUM($D$30:D36)/$D$45)</f>
        <v/>
      </c>
      <c r="G36" s="17" t="str">
        <f>IF($S36="","",IF(F36-E36&lt;0.8-0.000000001,"Evet",""))</f>
        <v/>
      </c>
      <c r="N36" s="10" t="str">
        <f>IF(TRIM(Örnek!$J$17)="","",TRIM(Örnek!$J$17))</f>
        <v/>
      </c>
      <c r="O36" s="10" t="str">
        <f>IF(N36="","",SUMIF(Örnek!$D$11:$D$25,N36,Örnek!$E$11:$E$25))</f>
        <v/>
      </c>
      <c r="P36" s="10" t="str">
        <f>IF(N36="","",SUMIF(Örnek!$D$11:$D$25,N36,Örnek!$F$11:$F$25))</f>
        <v/>
      </c>
      <c r="Q36" s="10" t="str">
        <f>IF(N36="","",IF($E$28="Etki",P36,O36))</f>
        <v/>
      </c>
      <c r="R36" s="10" t="str">
        <f>IF(Q36="","",IF(Q36&gt;0,Q36+9/10^7,""))</f>
        <v/>
      </c>
      <c r="S36" s="10" t="str">
        <f>IFERROR(MATCH(LARGE($R$30:$R$44,7),$R$30:$R$44,0),"")</f>
        <v/>
      </c>
      <c r="T36" s="10" t="str">
        <f>IF($S36="","",IF(G36="Evet",D36,0))</f>
        <v/>
      </c>
      <c r="U36" s="10" t="str">
        <f>IF($S36="","",IF(G36="Evet",0,D36))</f>
        <v/>
      </c>
      <c r="V36" s="10" t="str">
        <f>IF($S36="","",0.8)</f>
        <v/>
      </c>
      <c r="W36" s="10" t="str">
        <f>IF(G36="Evet",IF(W35="",B36,W35&amp;", "&amp;B36),W35)</f>
        <v>Malzeme bekleme, Arıza</v>
      </c>
    </row>
    <row r="37" spans="1:23" x14ac:dyDescent="0.2">
      <c r="A37" s="17" t="str">
        <f>IF($S37="","",8)</f>
        <v/>
      </c>
      <c r="B37" s="16" t="str">
        <f>IF($S37="","",INDEX($N$30:$N$44,$S37))</f>
        <v/>
      </c>
      <c r="C37" s="16"/>
      <c r="D37" s="15" t="str">
        <f>IF($S37="","",INDEX($Q$30:$Q$44,$S37))</f>
        <v/>
      </c>
      <c r="E37" s="18" t="str">
        <f>IF($S37="","",D37/$D$45)</f>
        <v/>
      </c>
      <c r="F37" s="18" t="str">
        <f>IF($S37="","",SUM($D$30:D37)/$D$45)</f>
        <v/>
      </c>
      <c r="G37" s="17" t="str">
        <f>IF($S37="","",IF(F37-E37&lt;0.8-0.000000001,"Evet",""))</f>
        <v/>
      </c>
      <c r="N37" s="10" t="str">
        <f>IF(TRIM(Örnek!$J$18)="","",TRIM(Örnek!$J$18))</f>
        <v/>
      </c>
      <c r="O37" s="10" t="str">
        <f>IF(N37="","",SUMIF(Örnek!$D$11:$D$25,N37,Örnek!$E$11:$E$25))</f>
        <v/>
      </c>
      <c r="P37" s="10" t="str">
        <f>IF(N37="","",SUMIF(Örnek!$D$11:$D$25,N37,Örnek!$F$11:$F$25))</f>
        <v/>
      </c>
      <c r="Q37" s="10" t="str">
        <f>IF(N37="","",IF($E$28="Etki",P37,O37))</f>
        <v/>
      </c>
      <c r="R37" s="10" t="str">
        <f>IF(Q37="","",IF(Q37&gt;0,Q37+8/10^7,""))</f>
        <v/>
      </c>
      <c r="S37" s="10" t="str">
        <f>IFERROR(MATCH(LARGE($R$30:$R$44,8),$R$30:$R$44,0),"")</f>
        <v/>
      </c>
      <c r="T37" s="10" t="str">
        <f>IF($S37="","",IF(G37="Evet",D37,0))</f>
        <v/>
      </c>
      <c r="U37" s="10" t="str">
        <f>IF($S37="","",IF(G37="Evet",0,D37))</f>
        <v/>
      </c>
      <c r="V37" s="10" t="str">
        <f>IF($S37="","",0.8)</f>
        <v/>
      </c>
      <c r="W37" s="10" t="str">
        <f>IF(G37="Evet",IF(W36="",B37,W36&amp;", "&amp;B37),W36)</f>
        <v>Malzeme bekleme, Arıza</v>
      </c>
    </row>
    <row r="38" spans="1:23" x14ac:dyDescent="0.2">
      <c r="A38" s="17" t="str">
        <f>IF($S38="","",9)</f>
        <v/>
      </c>
      <c r="B38" s="16" t="str">
        <f>IF($S38="","",INDEX($N$30:$N$44,$S38))</f>
        <v/>
      </c>
      <c r="C38" s="16"/>
      <c r="D38" s="15" t="str">
        <f>IF($S38="","",INDEX($Q$30:$Q$44,$S38))</f>
        <v/>
      </c>
      <c r="E38" s="18" t="str">
        <f>IF($S38="","",D38/$D$45)</f>
        <v/>
      </c>
      <c r="F38" s="18" t="str">
        <f>IF($S38="","",SUM($D$30:D38)/$D$45)</f>
        <v/>
      </c>
      <c r="G38" s="17" t="str">
        <f>IF($S38="","",IF(F38-E38&lt;0.8-0.000000001,"Evet",""))</f>
        <v/>
      </c>
      <c r="N38" s="10" t="str">
        <f>IF(TRIM(Örnek!$J$19)="","",TRIM(Örnek!$J$19))</f>
        <v/>
      </c>
      <c r="O38" s="10" t="str">
        <f>IF(N38="","",SUMIF(Örnek!$D$11:$D$25,N38,Örnek!$E$11:$E$25))</f>
        <v/>
      </c>
      <c r="P38" s="10" t="str">
        <f>IF(N38="","",SUMIF(Örnek!$D$11:$D$25,N38,Örnek!$F$11:$F$25))</f>
        <v/>
      </c>
      <c r="Q38" s="10" t="str">
        <f>IF(N38="","",IF($E$28="Etki",P38,O38))</f>
        <v/>
      </c>
      <c r="R38" s="10" t="str">
        <f>IF(Q38="","",IF(Q38&gt;0,Q38+7/10^7,""))</f>
        <v/>
      </c>
      <c r="S38" s="10" t="str">
        <f>IFERROR(MATCH(LARGE($R$30:$R$44,9),$R$30:$R$44,0),"")</f>
        <v/>
      </c>
      <c r="T38" s="10" t="str">
        <f>IF($S38="","",IF(G38="Evet",D38,0))</f>
        <v/>
      </c>
      <c r="U38" s="10" t="str">
        <f>IF($S38="","",IF(G38="Evet",0,D38))</f>
        <v/>
      </c>
      <c r="V38" s="10" t="str">
        <f>IF($S38="","",0.8)</f>
        <v/>
      </c>
      <c r="W38" s="10" t="str">
        <f>IF(G38="Evet",IF(W37="",B38,W37&amp;", "&amp;B38),W37)</f>
        <v>Malzeme bekleme, Arıza</v>
      </c>
    </row>
    <row r="39" spans="1:23" x14ac:dyDescent="0.2">
      <c r="A39" s="17" t="str">
        <f>IF($S39="","",10)</f>
        <v/>
      </c>
      <c r="B39" s="16" t="str">
        <f>IF($S39="","",INDEX($N$30:$N$44,$S39))</f>
        <v/>
      </c>
      <c r="C39" s="16"/>
      <c r="D39" s="15" t="str">
        <f>IF($S39="","",INDEX($Q$30:$Q$44,$S39))</f>
        <v/>
      </c>
      <c r="E39" s="18" t="str">
        <f>IF($S39="","",D39/$D$45)</f>
        <v/>
      </c>
      <c r="F39" s="18" t="str">
        <f>IF($S39="","",SUM($D$30:D39)/$D$45)</f>
        <v/>
      </c>
      <c r="G39" s="17" t="str">
        <f>IF($S39="","",IF(F39-E39&lt;0.8-0.000000001,"Evet",""))</f>
        <v/>
      </c>
      <c r="N39" s="10" t="str">
        <f>IF(TRIM(Örnek!$J$20)="","",TRIM(Örnek!$J$20))</f>
        <v/>
      </c>
      <c r="O39" s="10" t="str">
        <f>IF(N39="","",SUMIF(Örnek!$D$11:$D$25,N39,Örnek!$E$11:$E$25))</f>
        <v/>
      </c>
      <c r="P39" s="10" t="str">
        <f>IF(N39="","",SUMIF(Örnek!$D$11:$D$25,N39,Örnek!$F$11:$F$25))</f>
        <v/>
      </c>
      <c r="Q39" s="10" t="str">
        <f>IF(N39="","",IF($E$28="Etki",P39,O39))</f>
        <v/>
      </c>
      <c r="R39" s="10" t="str">
        <f>IF(Q39="","",IF(Q39&gt;0,Q39+6/10^7,""))</f>
        <v/>
      </c>
      <c r="S39" s="10" t="str">
        <f>IFERROR(MATCH(LARGE($R$30:$R$44,10),$R$30:$R$44,0),"")</f>
        <v/>
      </c>
      <c r="T39" s="10" t="str">
        <f>IF($S39="","",IF(G39="Evet",D39,0))</f>
        <v/>
      </c>
      <c r="U39" s="10" t="str">
        <f>IF($S39="","",IF(G39="Evet",0,D39))</f>
        <v/>
      </c>
      <c r="V39" s="10" t="str">
        <f>IF($S39="","",0.8)</f>
        <v/>
      </c>
      <c r="W39" s="10" t="str">
        <f>IF(G39="Evet",IF(W38="",B39,W38&amp;", "&amp;B39),W38)</f>
        <v>Malzeme bekleme, Arıza</v>
      </c>
    </row>
    <row r="40" spans="1:23" x14ac:dyDescent="0.2">
      <c r="A40" s="17" t="str">
        <f>IF($S40="","",11)</f>
        <v/>
      </c>
      <c r="B40" s="16" t="str">
        <f>IF($S40="","",INDEX($N$30:$N$44,$S40))</f>
        <v/>
      </c>
      <c r="C40" s="16"/>
      <c r="D40" s="15" t="str">
        <f>IF($S40="","",INDEX($Q$30:$Q$44,$S40))</f>
        <v/>
      </c>
      <c r="E40" s="18" t="str">
        <f>IF($S40="","",D40/$D$45)</f>
        <v/>
      </c>
      <c r="F40" s="18" t="str">
        <f>IF($S40="","",SUM($D$30:D40)/$D$45)</f>
        <v/>
      </c>
      <c r="G40" s="17" t="str">
        <f>IF($S40="","",IF(F40-E40&lt;0.8-0.000000001,"Evet",""))</f>
        <v/>
      </c>
      <c r="N40" s="10" t="str">
        <f>IF(TRIM(Örnek!$J$21)="","",TRIM(Örnek!$J$21))</f>
        <v/>
      </c>
      <c r="O40" s="10" t="str">
        <f>IF(N40="","",SUMIF(Örnek!$D$11:$D$25,N40,Örnek!$E$11:$E$25))</f>
        <v/>
      </c>
      <c r="P40" s="10" t="str">
        <f>IF(N40="","",SUMIF(Örnek!$D$11:$D$25,N40,Örnek!$F$11:$F$25))</f>
        <v/>
      </c>
      <c r="Q40" s="10" t="str">
        <f>IF(N40="","",IF($E$28="Etki",P40,O40))</f>
        <v/>
      </c>
      <c r="R40" s="10" t="str">
        <f>IF(Q40="","",IF(Q40&gt;0,Q40+5/10^7,""))</f>
        <v/>
      </c>
      <c r="S40" s="10" t="str">
        <f>IFERROR(MATCH(LARGE($R$30:$R$44,11),$R$30:$R$44,0),"")</f>
        <v/>
      </c>
      <c r="T40" s="10" t="str">
        <f>IF($S40="","",IF(G40="Evet",D40,0))</f>
        <v/>
      </c>
      <c r="U40" s="10" t="str">
        <f>IF($S40="","",IF(G40="Evet",0,D40))</f>
        <v/>
      </c>
      <c r="V40" s="10" t="str">
        <f>IF($S40="","",0.8)</f>
        <v/>
      </c>
      <c r="W40" s="10" t="str">
        <f>IF(G40="Evet",IF(W39="",B40,W39&amp;", "&amp;B40),W39)</f>
        <v>Malzeme bekleme, Arıza</v>
      </c>
    </row>
    <row r="41" spans="1:23" x14ac:dyDescent="0.2">
      <c r="A41" s="17" t="str">
        <f>IF($S41="","",12)</f>
        <v/>
      </c>
      <c r="B41" s="16" t="str">
        <f>IF($S41="","",INDEX($N$30:$N$44,$S41))</f>
        <v/>
      </c>
      <c r="C41" s="16"/>
      <c r="D41" s="15" t="str">
        <f>IF($S41="","",INDEX($Q$30:$Q$44,$S41))</f>
        <v/>
      </c>
      <c r="E41" s="18" t="str">
        <f>IF($S41="","",D41/$D$45)</f>
        <v/>
      </c>
      <c r="F41" s="18" t="str">
        <f>IF($S41="","",SUM($D$30:D41)/$D$45)</f>
        <v/>
      </c>
      <c r="G41" s="17" t="str">
        <f>IF($S41="","",IF(F41-E41&lt;0.8-0.000000001,"Evet",""))</f>
        <v/>
      </c>
      <c r="N41" s="10" t="str">
        <f>IF(TRIM(Örnek!$J$22)="","",TRIM(Örnek!$J$22))</f>
        <v/>
      </c>
      <c r="O41" s="10" t="str">
        <f>IF(N41="","",SUMIF(Örnek!$D$11:$D$25,N41,Örnek!$E$11:$E$25))</f>
        <v/>
      </c>
      <c r="P41" s="10" t="str">
        <f>IF(N41="","",SUMIF(Örnek!$D$11:$D$25,N41,Örnek!$F$11:$F$25))</f>
        <v/>
      </c>
      <c r="Q41" s="10" t="str">
        <f>IF(N41="","",IF($E$28="Etki",P41,O41))</f>
        <v/>
      </c>
      <c r="R41" s="10" t="str">
        <f>IF(Q41="","",IF(Q41&gt;0,Q41+4/10^7,""))</f>
        <v/>
      </c>
      <c r="S41" s="10" t="str">
        <f>IFERROR(MATCH(LARGE($R$30:$R$44,12),$R$30:$R$44,0),"")</f>
        <v/>
      </c>
      <c r="T41" s="10" t="str">
        <f>IF($S41="","",IF(G41="Evet",D41,0))</f>
        <v/>
      </c>
      <c r="U41" s="10" t="str">
        <f>IF($S41="","",IF(G41="Evet",0,D41))</f>
        <v/>
      </c>
      <c r="V41" s="10" t="str">
        <f>IF($S41="","",0.8)</f>
        <v/>
      </c>
      <c r="W41" s="10" t="str">
        <f>IF(G41="Evet",IF(W40="",B41,W40&amp;", "&amp;B41),W40)</f>
        <v>Malzeme bekleme, Arıza</v>
      </c>
    </row>
    <row r="42" spans="1:23" x14ac:dyDescent="0.2">
      <c r="A42" s="17" t="str">
        <f>IF($S42="","",13)</f>
        <v/>
      </c>
      <c r="B42" s="16" t="str">
        <f>IF($S42="","",INDEX($N$30:$N$44,$S42))</f>
        <v/>
      </c>
      <c r="C42" s="16"/>
      <c r="D42" s="15" t="str">
        <f>IF($S42="","",INDEX($Q$30:$Q$44,$S42))</f>
        <v/>
      </c>
      <c r="E42" s="18" t="str">
        <f>IF($S42="","",D42/$D$45)</f>
        <v/>
      </c>
      <c r="F42" s="18" t="str">
        <f>IF($S42="","",SUM($D$30:D42)/$D$45)</f>
        <v/>
      </c>
      <c r="G42" s="17" t="str">
        <f>IF($S42="","",IF(F42-E42&lt;0.8-0.000000001,"Evet",""))</f>
        <v/>
      </c>
      <c r="N42" s="10" t="str">
        <f>IF(TRIM(Örnek!$J$23)="","",TRIM(Örnek!$J$23))</f>
        <v/>
      </c>
      <c r="O42" s="10" t="str">
        <f>IF(N42="","",SUMIF(Örnek!$D$11:$D$25,N42,Örnek!$E$11:$E$25))</f>
        <v/>
      </c>
      <c r="P42" s="10" t="str">
        <f>IF(N42="","",SUMIF(Örnek!$D$11:$D$25,N42,Örnek!$F$11:$F$25))</f>
        <v/>
      </c>
      <c r="Q42" s="10" t="str">
        <f>IF(N42="","",IF($E$28="Etki",P42,O42))</f>
        <v/>
      </c>
      <c r="R42" s="10" t="str">
        <f>IF(Q42="","",IF(Q42&gt;0,Q42+3/10^7,""))</f>
        <v/>
      </c>
      <c r="S42" s="10" t="str">
        <f>IFERROR(MATCH(LARGE($R$30:$R$44,13),$R$30:$R$44,0),"")</f>
        <v/>
      </c>
      <c r="T42" s="10" t="str">
        <f>IF($S42="","",IF(G42="Evet",D42,0))</f>
        <v/>
      </c>
      <c r="U42" s="10" t="str">
        <f>IF($S42="","",IF(G42="Evet",0,D42))</f>
        <v/>
      </c>
      <c r="V42" s="10" t="str">
        <f>IF($S42="","",0.8)</f>
        <v/>
      </c>
      <c r="W42" s="10" t="str">
        <f>IF(G42="Evet",IF(W41="",B42,W41&amp;", "&amp;B42),W41)</f>
        <v>Malzeme bekleme, Arıza</v>
      </c>
    </row>
    <row r="43" spans="1:23" x14ac:dyDescent="0.2">
      <c r="A43" s="17" t="str">
        <f>IF($S43="","",14)</f>
        <v/>
      </c>
      <c r="B43" s="16" t="str">
        <f>IF($S43="","",INDEX($N$30:$N$44,$S43))</f>
        <v/>
      </c>
      <c r="C43" s="16"/>
      <c r="D43" s="15" t="str">
        <f>IF($S43="","",INDEX($Q$30:$Q$44,$S43))</f>
        <v/>
      </c>
      <c r="E43" s="18" t="str">
        <f>IF($S43="","",D43/$D$45)</f>
        <v/>
      </c>
      <c r="F43" s="18" t="str">
        <f>IF($S43="","",SUM($D$30:D43)/$D$45)</f>
        <v/>
      </c>
      <c r="G43" s="17" t="str">
        <f>IF($S43="","",IF(F43-E43&lt;0.8-0.000000001,"Evet",""))</f>
        <v/>
      </c>
      <c r="N43" s="10" t="str">
        <f>IF(TRIM(Örnek!$J$24)="","",TRIM(Örnek!$J$24))</f>
        <v/>
      </c>
      <c r="O43" s="10" t="str">
        <f>IF(N43="","",SUMIF(Örnek!$D$11:$D$25,N43,Örnek!$E$11:$E$25))</f>
        <v/>
      </c>
      <c r="P43" s="10" t="str">
        <f>IF(N43="","",SUMIF(Örnek!$D$11:$D$25,N43,Örnek!$F$11:$F$25))</f>
        <v/>
      </c>
      <c r="Q43" s="10" t="str">
        <f>IF(N43="","",IF($E$28="Etki",P43,O43))</f>
        <v/>
      </c>
      <c r="R43" s="10" t="str">
        <f>IF(Q43="","",IF(Q43&gt;0,Q43+2/10^7,""))</f>
        <v/>
      </c>
      <c r="S43" s="10" t="str">
        <f>IFERROR(MATCH(LARGE($R$30:$R$44,14),$R$30:$R$44,0),"")</f>
        <v/>
      </c>
      <c r="T43" s="10" t="str">
        <f>IF($S43="","",IF(G43="Evet",D43,0))</f>
        <v/>
      </c>
      <c r="U43" s="10" t="str">
        <f>IF($S43="","",IF(G43="Evet",0,D43))</f>
        <v/>
      </c>
      <c r="V43" s="10" t="str">
        <f>IF($S43="","",0.8)</f>
        <v/>
      </c>
      <c r="W43" s="10" t="str">
        <f>IF(G43="Evet",IF(W42="",B43,W42&amp;", "&amp;B43),W42)</f>
        <v>Malzeme bekleme, Arıza</v>
      </c>
    </row>
    <row r="44" spans="1:23" x14ac:dyDescent="0.2">
      <c r="A44" s="17" t="str">
        <f>IF($S44="","",15)</f>
        <v/>
      </c>
      <c r="B44" s="16" t="str">
        <f>IF($S44="","",INDEX($N$30:$N$44,$S44))</f>
        <v/>
      </c>
      <c r="C44" s="16"/>
      <c r="D44" s="15" t="str">
        <f>IF($S44="","",INDEX($Q$30:$Q$44,$S44))</f>
        <v/>
      </c>
      <c r="E44" s="18" t="str">
        <f>IF($S44="","",D44/$D$45)</f>
        <v/>
      </c>
      <c r="F44" s="18" t="str">
        <f>IF($S44="","",SUM($D$30:D44)/$D$45)</f>
        <v/>
      </c>
      <c r="G44" s="17" t="str">
        <f>IF($S44="","",IF(F44-E44&lt;0.8-0.000000001,"Evet",""))</f>
        <v/>
      </c>
      <c r="N44" s="10" t="str">
        <f>IF(TRIM(Örnek!$J$25)="","",TRIM(Örnek!$J$25))</f>
        <v/>
      </c>
      <c r="O44" s="10" t="str">
        <f>IF(N44="","",SUMIF(Örnek!$D$11:$D$25,N44,Örnek!$E$11:$E$25))</f>
        <v/>
      </c>
      <c r="P44" s="10" t="str">
        <f>IF(N44="","",SUMIF(Örnek!$D$11:$D$25,N44,Örnek!$F$11:$F$25))</f>
        <v/>
      </c>
      <c r="Q44" s="10" t="str">
        <f>IF(N44="","",IF($E$28="Etki",P44,O44))</f>
        <v/>
      </c>
      <c r="R44" s="10" t="str">
        <f>IF(Q44="","",IF(Q44&gt;0,Q44+1/10^7,""))</f>
        <v/>
      </c>
      <c r="S44" s="10" t="str">
        <f>IFERROR(MATCH(LARGE($R$30:$R$44,15),$R$30:$R$44,0),"")</f>
        <v/>
      </c>
      <c r="T44" s="10" t="str">
        <f>IF($S44="","",IF(G44="Evet",D44,0))</f>
        <v/>
      </c>
      <c r="U44" s="10" t="str">
        <f>IF($S44="","",IF(G44="Evet",0,D44))</f>
        <v/>
      </c>
      <c r="V44" s="10" t="str">
        <f>IF($S44="","",0.8)</f>
        <v/>
      </c>
      <c r="W44" s="10" t="str">
        <f>IF(G44="Evet",IF(W43="",B44,W43&amp;", "&amp;B44),W43)</f>
        <v>Malzeme bekleme, Arıza</v>
      </c>
    </row>
    <row r="45" spans="1:23" x14ac:dyDescent="0.2">
      <c r="A45" s="6" t="s">
        <v>47</v>
      </c>
      <c r="B45" s="6"/>
      <c r="C45" s="6"/>
      <c r="D45" s="15">
        <f>SUM(D30:D44)</f>
        <v>120</v>
      </c>
      <c r="E45" s="18">
        <f>IF(D45&gt;0,1,"")</f>
        <v>1</v>
      </c>
      <c r="F45" s="19"/>
      <c r="N45" s="10"/>
      <c r="O45" s="10"/>
      <c r="P45" s="10"/>
      <c r="Q45" s="10"/>
      <c r="R45" s="10" t="s">
        <v>48</v>
      </c>
      <c r="S45" s="10">
        <f>COUNTIF(G30:G44,"Evet")</f>
        <v>2</v>
      </c>
      <c r="T45" s="10">
        <f>IF(S45=0,"",INDEX(F30:F44,S45))</f>
        <v>0.81666666666666665</v>
      </c>
      <c r="U45" s="10"/>
      <c r="V45" s="10"/>
      <c r="W45" s="10"/>
    </row>
    <row r="47" spans="1:23" ht="39.950000000000003" customHeight="1" x14ac:dyDescent="0.2">
      <c r="A47" s="6" t="s">
        <v>49</v>
      </c>
      <c r="B47" s="6"/>
      <c r="C47" s="6"/>
      <c r="D47" s="20" t="str">
        <f>IF($S$45=0,"Kayıt girildikçe sonuç burada görünür.",IF($S$45=1,$W$44&amp;" kategorisi tek başına ",$S$45&amp;" kategori ("&amp;$W$44&amp;") ")&amp;IF($E$28="Etki","toplam etkinin %","sorunların %")&amp;ROUND($T$45*100,1)&amp;" kadarını oluşturuyor; önce "&amp;IF($S$45=1,"buna","bunlara")&amp;" odaklanın.")</f>
        <v>2 kategori (Malzeme bekleme, Arıza) sorunların %81,7 kadarını oluşturuyor; önce bunlara odaklanın.</v>
      </c>
      <c r="E47" s="20"/>
      <c r="F47" s="20"/>
      <c r="G47" s="20"/>
    </row>
    <row r="48" spans="1:23" ht="27.95" customHeight="1" x14ac:dyDescent="0.2">
      <c r="A48" s="6"/>
      <c r="B48" s="6"/>
      <c r="C48" s="6"/>
      <c r="D48" s="21" t="str">
        <f>IF($S$45=0,"","Kategorilerin %"&amp;ROUND($S$45/COUNT(D30:D44)*100,1)&amp;" kadarı, "&amp;IF($E$28="Etki","toplam etkinin %","sorunların %")&amp;ROUND($T$45*100,1)&amp;" kadarı: 80/20 kuralı. Hayati azınlıkta kök nedeni 5 Neden ile arayın.")</f>
        <v>Kategorilerin %33,3 kadarı, sorunların %81,7 kadarı: 80/20 kuralı. Hayati azınlıkta kök nedeni 5 Neden ile arayın.</v>
      </c>
      <c r="E48" s="21"/>
      <c r="F48" s="21"/>
      <c r="G48" s="21"/>
    </row>
    <row r="50" spans="1:7" ht="20.100000000000001" customHeight="1" x14ac:dyDescent="0.2">
      <c r="A50" s="5" t="s">
        <v>69</v>
      </c>
      <c r="B50" s="5"/>
      <c r="C50" s="5"/>
      <c r="D50" s="5"/>
      <c r="E50" s="5"/>
      <c r="F50" s="5"/>
      <c r="G50" s="5"/>
    </row>
    <row r="73" spans="1:1" x14ac:dyDescent="0.2">
      <c r="A73" s="10" t="s">
        <v>70</v>
      </c>
    </row>
    <row r="74" spans="1:1" x14ac:dyDescent="0.2">
      <c r="A74" s="10" t="s">
        <v>71</v>
      </c>
    </row>
  </sheetData>
  <mergeCells count="46">
    <mergeCell ref="A47:C48"/>
    <mergeCell ref="D47:G47"/>
    <mergeCell ref="D48:G48"/>
    <mergeCell ref="A50:G50"/>
    <mergeCell ref="B40:C40"/>
    <mergeCell ref="B41:C41"/>
    <mergeCell ref="B42:C42"/>
    <mergeCell ref="B43:C43"/>
    <mergeCell ref="B44:C44"/>
    <mergeCell ref="A45:C45"/>
    <mergeCell ref="B34:C34"/>
    <mergeCell ref="B35:C35"/>
    <mergeCell ref="B36:C36"/>
    <mergeCell ref="B37:C37"/>
    <mergeCell ref="B38:C38"/>
    <mergeCell ref="B39:C39"/>
    <mergeCell ref="A28:D28"/>
    <mergeCell ref="B29:C29"/>
    <mergeCell ref="B30:C30"/>
    <mergeCell ref="B31:C31"/>
    <mergeCell ref="B32:C32"/>
    <mergeCell ref="B33:C33"/>
    <mergeCell ref="F22:G22"/>
    <mergeCell ref="F23:G23"/>
    <mergeCell ref="F24:G24"/>
    <mergeCell ref="F25:G25"/>
    <mergeCell ref="I9:L9"/>
    <mergeCell ref="A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A5:G5"/>
    <mergeCell ref="A6:B6"/>
    <mergeCell ref="E6:G6"/>
    <mergeCell ref="A7:B7"/>
    <mergeCell ref="E7:G7"/>
    <mergeCell ref="A9:G9"/>
  </mergeCells>
  <conditionalFormatting sqref="A30:G44">
    <cfRule type="expression" dxfId="0" priority="1" stopIfTrue="1">
      <formula>$G30="Evet"</formula>
    </cfRule>
  </conditionalFormatting>
  <dataValidations count="4">
    <dataValidation type="list" allowBlank="1" showInputMessage="1" showErrorMessage="1" errorTitle="Kategori" error="Sağdaki kategori listesinden seçin ya da listeye yeni kategori ekleyin." sqref="D11:D25" xr:uid="{D3F67812-F98A-455A-A5E5-E8683A42EF66}">
      <formula1>$J$11:$J$25</formula1>
    </dataValidation>
    <dataValidation type="decimal" operator="greaterThanOrEqual" allowBlank="1" showInputMessage="1" showErrorMessage="1" error="Sıfır ya da pozitif bir sayı yazın." sqref="E11:E25" xr:uid="{71E149CA-CF59-4347-A22F-25E7D09F4300}">
      <formula1>0</formula1>
    </dataValidation>
    <dataValidation type="decimal" operator="greaterThanOrEqual" allowBlank="1" showInputMessage="1" showErrorMessage="1" error="Sıfır ya da pozitif bir sayı yazın." sqref="F11:G25" xr:uid="{2B3122BF-80AA-40FB-9421-2D1096833FA1}">
      <formula1>0</formula1>
    </dataValidation>
    <dataValidation type="list" allowBlank="1" showInputMessage="1" showErrorMessage="1" sqref="E28" xr:uid="{47FC2024-D3C0-4FCE-980A-351D30ED53A2}">
      <formula1>"Adet,Etki"</formula1>
    </dataValidation>
  </dataValidations>
  <pageMargins left="0.39370078740157477" right="0.39370078740157477" top="0.4724409448818897" bottom="0.4724409448818897" header="0.3" footer="0.3"/>
  <pageSetup paperSize="9" scale="54" fitToHeight="0" orientation="portrait" r:id="rId1"/>
  <headerFooter>
    <oddFooter>&amp;Ceproses.com/araclar/pareto-analizi-excel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17699-E474-4658-8FEF-EBE8FCFDDD8F}">
  <sheetPr>
    <pageSetUpPr fitToPage="1"/>
  </sheetPr>
  <dimension ref="A1:C30"/>
  <sheetViews>
    <sheetView showGridLines="0" workbookViewId="0">
      <selection activeCell="C6" sqref="C6"/>
    </sheetView>
  </sheetViews>
  <sheetFormatPr defaultRowHeight="12.75" x14ac:dyDescent="0.2"/>
  <cols>
    <col min="1" max="1" width="26.7109375" style="1" customWidth="1"/>
    <col min="2" max="2" width="4.7109375" style="1" customWidth="1"/>
    <col min="3" max="3" width="92.7109375" style="1" customWidth="1"/>
    <col min="4" max="16384" width="9.140625" style="1"/>
  </cols>
  <sheetData>
    <row r="1" spans="1:3" ht="30" customHeight="1" x14ac:dyDescent="0.3">
      <c r="C1" s="22" t="s">
        <v>72</v>
      </c>
    </row>
    <row r="2" spans="1:3" ht="21.95" customHeight="1" x14ac:dyDescent="0.2">
      <c r="C2" s="23" t="s">
        <v>73</v>
      </c>
    </row>
    <row r="3" spans="1:3" ht="18" customHeight="1" x14ac:dyDescent="0.2">
      <c r="C3" s="24" t="s">
        <v>2</v>
      </c>
    </row>
    <row r="5" spans="1:3" x14ac:dyDescent="0.2">
      <c r="A5" s="5" t="s">
        <v>74</v>
      </c>
      <c r="B5" s="5"/>
      <c r="C5" s="5"/>
    </row>
    <row r="6" spans="1:3" x14ac:dyDescent="0.2">
      <c r="B6" s="25">
        <v>1</v>
      </c>
      <c r="C6" s="26" t="s">
        <v>75</v>
      </c>
    </row>
    <row r="7" spans="1:3" x14ac:dyDescent="0.2">
      <c r="B7" s="25">
        <v>2</v>
      </c>
      <c r="C7" s="26" t="s">
        <v>76</v>
      </c>
    </row>
    <row r="8" spans="1:3" ht="25.5" x14ac:dyDescent="0.2">
      <c r="B8" s="25">
        <v>3</v>
      </c>
      <c r="C8" s="26" t="s">
        <v>77</v>
      </c>
    </row>
    <row r="9" spans="1:3" ht="25.5" x14ac:dyDescent="0.2">
      <c r="B9" s="25">
        <v>4</v>
      </c>
      <c r="C9" s="26" t="s">
        <v>78</v>
      </c>
    </row>
    <row r="10" spans="1:3" ht="25.5" x14ac:dyDescent="0.2">
      <c r="B10" s="25">
        <v>5</v>
      </c>
      <c r="C10" s="26" t="s">
        <v>79</v>
      </c>
    </row>
    <row r="11" spans="1:3" ht="25.5" x14ac:dyDescent="0.2">
      <c r="B11" s="25">
        <v>6</v>
      </c>
      <c r="C11" s="26" t="s">
        <v>80</v>
      </c>
    </row>
    <row r="12" spans="1:3" ht="25.5" x14ac:dyDescent="0.2">
      <c r="B12" s="25">
        <v>7</v>
      </c>
      <c r="C12" s="26" t="s">
        <v>81</v>
      </c>
    </row>
    <row r="14" spans="1:3" x14ac:dyDescent="0.2">
      <c r="A14" s="5" t="s">
        <v>82</v>
      </c>
      <c r="B14" s="5"/>
      <c r="C14" s="5"/>
    </row>
    <row r="15" spans="1:3" x14ac:dyDescent="0.2">
      <c r="B15" s="27" t="s">
        <v>83</v>
      </c>
      <c r="C15" s="26" t="s">
        <v>84</v>
      </c>
    </row>
    <row r="16" spans="1:3" ht="25.5" x14ac:dyDescent="0.2">
      <c r="B16" s="27" t="s">
        <v>83</v>
      </c>
      <c r="C16" s="26" t="s">
        <v>85</v>
      </c>
    </row>
    <row r="17" spans="1:3" x14ac:dyDescent="0.2">
      <c r="B17" s="27" t="s">
        <v>83</v>
      </c>
      <c r="C17" s="26" t="s">
        <v>86</v>
      </c>
    </row>
    <row r="18" spans="1:3" x14ac:dyDescent="0.2">
      <c r="B18" s="27" t="s">
        <v>83</v>
      </c>
      <c r="C18" s="26" t="s">
        <v>87</v>
      </c>
    </row>
    <row r="20" spans="1:3" x14ac:dyDescent="0.2">
      <c r="A20" s="5" t="s">
        <v>88</v>
      </c>
      <c r="B20" s="5"/>
      <c r="C20" s="5"/>
    </row>
    <row r="21" spans="1:3" ht="25.5" x14ac:dyDescent="0.2">
      <c r="B21" s="27" t="s">
        <v>83</v>
      </c>
      <c r="C21" s="26" t="s">
        <v>89</v>
      </c>
    </row>
    <row r="22" spans="1:3" ht="25.5" x14ac:dyDescent="0.2">
      <c r="B22" s="27" t="s">
        <v>83</v>
      </c>
      <c r="C22" s="26" t="s">
        <v>90</v>
      </c>
    </row>
    <row r="23" spans="1:3" ht="25.5" x14ac:dyDescent="0.2">
      <c r="B23" s="27" t="s">
        <v>83</v>
      </c>
      <c r="C23" s="26" t="s">
        <v>91</v>
      </c>
    </row>
    <row r="24" spans="1:3" x14ac:dyDescent="0.2">
      <c r="B24" s="27" t="s">
        <v>83</v>
      </c>
      <c r="C24" s="26" t="s">
        <v>92</v>
      </c>
    </row>
    <row r="25" spans="1:3" x14ac:dyDescent="0.2">
      <c r="B25" s="27" t="s">
        <v>83</v>
      </c>
      <c r="C25" s="26" t="s">
        <v>93</v>
      </c>
    </row>
    <row r="27" spans="1:3" x14ac:dyDescent="0.2">
      <c r="A27" s="5" t="s">
        <v>94</v>
      </c>
      <c r="B27" s="5"/>
      <c r="C27" s="5"/>
    </row>
    <row r="28" spans="1:3" ht="25.5" x14ac:dyDescent="0.2">
      <c r="B28" s="27" t="s">
        <v>83</v>
      </c>
      <c r="C28" s="26" t="s">
        <v>95</v>
      </c>
    </row>
    <row r="29" spans="1:3" x14ac:dyDescent="0.2">
      <c r="B29" s="27" t="s">
        <v>83</v>
      </c>
      <c r="C29" s="26" t="s">
        <v>96</v>
      </c>
    </row>
    <row r="30" spans="1:3" x14ac:dyDescent="0.2">
      <c r="B30" s="27" t="s">
        <v>83</v>
      </c>
      <c r="C30" s="26" t="s">
        <v>97</v>
      </c>
    </row>
  </sheetData>
  <mergeCells count="4">
    <mergeCell ref="A5:C5"/>
    <mergeCell ref="A14:C14"/>
    <mergeCell ref="A20:C20"/>
    <mergeCell ref="A27:C27"/>
  </mergeCells>
  <pageMargins left="0.39370078740157477" right="0.39370078740157477" top="0.4724409448818897" bottom="0.4724409448818897" header="0.3" footer="0.3"/>
  <pageSetup paperSize="9" scale="78" fitToHeight="0" orientation="portrait" r:id="rId1"/>
  <headerFooter>
    <oddFooter>&amp;Ceproses.com/araclar/pareto-analizi-excel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5</vt:i4>
      </vt:variant>
    </vt:vector>
  </HeadingPairs>
  <TitlesOfParts>
    <vt:vector size="10" baseType="lpstr">
      <vt:lpstr>Veri girişi</vt:lpstr>
      <vt:lpstr>Pareto tablosu</vt:lpstr>
      <vt:lpstr>Pareto grafiği</vt:lpstr>
      <vt:lpstr>Örnek</vt:lpstr>
      <vt:lpstr>Açıklama</vt:lpstr>
      <vt:lpstr>Açıklama!Yazdırma_Alanı</vt:lpstr>
      <vt:lpstr>Örnek!Yazdırma_Alanı</vt:lpstr>
      <vt:lpstr>'Pareto grafiği'!Yazdırma_Alanı</vt:lpstr>
      <vt:lpstr>'Pareto tablosu'!Yazdırma_Alanı</vt:lpstr>
      <vt:lpstr>'Veri girişi'!Yazdırma_Alanı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Pareto Analizi Formu (80/20)</dc:title>
  <dc:creator>eproses</dc:creator>
  <cp:lastModifiedBy>ALPEREN AVCU</cp:lastModifiedBy>
  <dcterms:created xsi:type="dcterms:W3CDTF">2026-10-18T08:00:46Z</dcterms:created>
  <dcterms:modified xsi:type="dcterms:W3CDTF">2026-10-18T08:01:03Z</dcterms:modified>
</cp:coreProperties>
</file>